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codeName="ThisWorkbook" defaultThemeVersion="124226"/>
  <bookViews>
    <workbookView xWindow="-120" yWindow="-120" windowWidth="20730" windowHeight="11160" firstSheet="5" activeTab="6"/>
  </bookViews>
  <sheets>
    <sheet name="THU" sheetId="1" state="hidden" r:id="rId1"/>
    <sheet name="CHI có TKiem 10%" sheetId="13" state="hidden" r:id="rId2"/>
    <sheet name="foxz" sheetId="23" state="hidden" r:id="rId3"/>
    <sheet name="foxz_2" sheetId="24" state="veryHidden" r:id="rId4"/>
    <sheet name="foxz_3" sheetId="25" state="veryHidden" r:id="rId5"/>
    <sheet name="thu 2022" sheetId="14" r:id="rId6"/>
    <sheet name="Chi 2022" sheetId="20" r:id="rId7"/>
    <sheet name="Sheet1" sheetId="26" r:id="rId8"/>
    <sheet name="chi tiết chi 2021" sheetId="16" state="hidden" r:id="rId9"/>
    <sheet name="DKien tăng thu" sheetId="18" state="hidden" r:id="rId10"/>
    <sheet name="tăng thu" sheetId="22" state="hidden" r:id="rId11"/>
  </sheets>
  <definedNames>
    <definedName name="_xlnm.Print_Titles" localSheetId="6">'Chi 2022'!$5:$5</definedName>
    <definedName name="_xlnm.Print_Titles" localSheetId="1">'CHI có TKiem 10%'!$5:$5</definedName>
    <definedName name="_xlnm.Print_Titles" localSheetId="8">'chi tiết chi 2021'!$5:$5</definedName>
    <definedName name="_xlnm.Print_Titles" localSheetId="0">THU!$5:$5</definedName>
    <definedName name="_xlnm.Print_Titles" localSheetId="5">'thu 2022'!$5:$5</definedName>
  </definedNames>
  <calcPr calcId="12451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3" i="20"/>
  <c r="G150" l="1"/>
  <c r="G148"/>
  <c r="G144" l="1"/>
  <c r="G69"/>
  <c r="G58"/>
  <c r="G62"/>
  <c r="G100" l="1"/>
  <c r="G90" l="1"/>
  <c r="G102" l="1"/>
  <c r="G122"/>
  <c r="G147"/>
  <c r="G133" l="1"/>
  <c r="G118"/>
  <c r="G83"/>
  <c r="G77"/>
  <c r="G59" l="1"/>
  <c r="G51"/>
  <c r="G49"/>
  <c r="G22" l="1"/>
  <c r="G42"/>
  <c r="F23" i="14"/>
  <c r="F21"/>
  <c r="F20"/>
  <c r="F17"/>
  <c r="F13"/>
  <c r="F9"/>
  <c r="G131" i="20" l="1"/>
  <c r="G129" l="1"/>
  <c r="G48"/>
  <c r="G55" l="1"/>
  <c r="G47" s="1"/>
  <c r="F22" i="14"/>
  <c r="F16" s="1"/>
  <c r="F25" l="1"/>
  <c r="G117" i="20" l="1"/>
  <c r="G36" l="1"/>
  <c r="G28" s="1"/>
  <c r="G20" l="1"/>
  <c r="G66" l="1"/>
  <c r="G76"/>
  <c r="G96"/>
  <c r="G95" s="1"/>
  <c r="C102"/>
  <c r="G9" l="1"/>
  <c r="G8" s="1"/>
  <c r="F7" i="14"/>
  <c r="E43" l="1"/>
  <c r="F43" s="1"/>
  <c r="F144" i="20" l="1"/>
  <c r="F6" i="14"/>
  <c r="F73" i="20"/>
  <c r="F72"/>
  <c r="F109"/>
  <c r="E108"/>
  <c r="F108" s="1"/>
  <c r="F65"/>
  <c r="F64"/>
  <c r="E63"/>
  <c r="F63" l="1"/>
  <c r="H63" s="1"/>
  <c r="F71"/>
  <c r="H71" s="1"/>
  <c r="F107"/>
  <c r="F87"/>
  <c r="F88"/>
  <c r="G88" s="1"/>
  <c r="G85" s="1"/>
  <c r="F86"/>
  <c r="E85"/>
  <c r="F84"/>
  <c r="G84" s="1"/>
  <c r="G82" s="1"/>
  <c r="F83"/>
  <c r="E82"/>
  <c r="F78"/>
  <c r="F79"/>
  <c r="F80"/>
  <c r="F81"/>
  <c r="F77"/>
  <c r="E76"/>
  <c r="F59"/>
  <c r="F58"/>
  <c r="F56"/>
  <c r="F51"/>
  <c r="F50"/>
  <c r="F49"/>
  <c r="D48"/>
  <c r="F52"/>
  <c r="F122"/>
  <c r="F147"/>
  <c r="H122" l="1"/>
  <c r="H59"/>
  <c r="G75"/>
  <c r="G74" s="1"/>
  <c r="G46" s="1"/>
  <c r="E75"/>
  <c r="F82"/>
  <c r="F85"/>
  <c r="F76"/>
  <c r="F31"/>
  <c r="F33"/>
  <c r="F34"/>
  <c r="F35"/>
  <c r="F36"/>
  <c r="F37"/>
  <c r="F38"/>
  <c r="F30"/>
  <c r="F22"/>
  <c r="F21"/>
  <c r="E20"/>
  <c r="F18"/>
  <c r="F15"/>
  <c r="F14"/>
  <c r="E9"/>
  <c r="F10"/>
  <c r="F20" l="1"/>
  <c r="F28"/>
  <c r="F75"/>
  <c r="F9"/>
  <c r="F8" l="1"/>
  <c r="E28"/>
  <c r="E8" s="1"/>
  <c r="H8" l="1"/>
  <c r="D55"/>
  <c r="D47" s="1"/>
  <c r="E93" l="1"/>
  <c r="F93" s="1"/>
  <c r="D71"/>
  <c r="E71" s="1"/>
  <c r="E70" l="1"/>
  <c r="F70" s="1"/>
  <c r="H70" s="1"/>
  <c r="E120"/>
  <c r="F120" s="1"/>
  <c r="D67" l="1"/>
  <c r="E119" l="1"/>
  <c r="F119" s="1"/>
  <c r="E118"/>
  <c r="F118" s="1"/>
  <c r="E117"/>
  <c r="F117" s="1"/>
  <c r="E116"/>
  <c r="F116" s="1"/>
  <c r="E112"/>
  <c r="F112" s="1"/>
  <c r="E113" l="1"/>
  <c r="F113" s="1"/>
  <c r="E114"/>
  <c r="F114" s="1"/>
  <c r="E115"/>
  <c r="F115" s="1"/>
  <c r="E28" i="14"/>
  <c r="E110" i="20" l="1"/>
  <c r="F110" s="1"/>
  <c r="E121" l="1"/>
  <c r="F121" s="1"/>
  <c r="D9" l="1"/>
  <c r="D28"/>
  <c r="D20"/>
  <c r="C7" i="14" l="1"/>
  <c r="E111" i="20" l="1"/>
  <c r="F111" s="1"/>
  <c r="E102" i="16"/>
  <c r="F102" s="1"/>
  <c r="D66"/>
  <c r="E66" s="1"/>
  <c r="D114"/>
  <c r="D113"/>
  <c r="D6" i="22"/>
  <c r="D5"/>
  <c r="D7" l="1"/>
  <c r="D8" s="1"/>
  <c r="D9" s="1"/>
  <c r="F101" i="16"/>
  <c r="E100"/>
  <c r="F100" s="1"/>
  <c r="F105"/>
  <c r="F104"/>
  <c r="F103"/>
  <c r="E94" i="20"/>
  <c r="F94" s="1"/>
  <c r="E82" i="16"/>
  <c r="F82" s="1"/>
  <c r="E83"/>
  <c r="F83" s="1"/>
  <c r="D79"/>
  <c r="H79" s="1"/>
  <c r="E69"/>
  <c r="F69" s="1"/>
  <c r="E78"/>
  <c r="F78" s="1"/>
  <c r="E77"/>
  <c r="F77" s="1"/>
  <c r="H78"/>
  <c r="D72"/>
  <c r="D75"/>
  <c r="D76"/>
  <c r="F76" s="1"/>
  <c r="E106" i="20"/>
  <c r="F106" s="1"/>
  <c r="E105"/>
  <c r="F105" s="1"/>
  <c r="E104"/>
  <c r="F104" s="1"/>
  <c r="E103"/>
  <c r="F103" s="1"/>
  <c r="D102"/>
  <c r="F102" s="1"/>
  <c r="E101"/>
  <c r="E100"/>
  <c r="E99"/>
  <c r="E98"/>
  <c r="E97"/>
  <c r="C96"/>
  <c r="E92"/>
  <c r="F92" s="1"/>
  <c r="E91"/>
  <c r="F91" s="1"/>
  <c r="D90"/>
  <c r="E69"/>
  <c r="F69" s="1"/>
  <c r="H69" s="1"/>
  <c r="E68"/>
  <c r="F68" s="1"/>
  <c r="E67"/>
  <c r="D66"/>
  <c r="C66"/>
  <c r="E54"/>
  <c r="C8"/>
  <c r="D18" i="16"/>
  <c r="D38"/>
  <c r="E40"/>
  <c r="H40"/>
  <c r="E64"/>
  <c r="H76"/>
  <c r="G7" i="20" l="1"/>
  <c r="G6" s="1"/>
  <c r="E66"/>
  <c r="F67"/>
  <c r="F66" s="1"/>
  <c r="H66" s="1"/>
  <c r="F54"/>
  <c r="F48" s="1"/>
  <c r="E48"/>
  <c r="F97"/>
  <c r="F101"/>
  <c r="F98"/>
  <c r="F100"/>
  <c r="E90"/>
  <c r="F90"/>
  <c r="F99"/>
  <c r="D8"/>
  <c r="D63" i="16"/>
  <c r="E57" i="20"/>
  <c r="E96"/>
  <c r="D82"/>
  <c r="D85"/>
  <c r="D96"/>
  <c r="D95" s="1"/>
  <c r="D76"/>
  <c r="C95"/>
  <c r="C74" s="1"/>
  <c r="C46" s="1"/>
  <c r="F64" i="16"/>
  <c r="F57" i="20" l="1"/>
  <c r="F55" s="1"/>
  <c r="F47" s="1"/>
  <c r="E55"/>
  <c r="E47" s="1"/>
  <c r="F96"/>
  <c r="D75"/>
  <c r="D74" s="1"/>
  <c r="C7"/>
  <c r="E95"/>
  <c r="F95" s="1"/>
  <c r="F74" s="1"/>
  <c r="H74" s="1"/>
  <c r="F46" l="1"/>
  <c r="E74"/>
  <c r="E46" s="1"/>
  <c r="E7" s="1"/>
  <c r="E6" s="1"/>
  <c r="C6"/>
  <c r="F107" i="16"/>
  <c r="H46" i="20" l="1"/>
  <c r="F7"/>
  <c r="D46"/>
  <c r="D7" s="1"/>
  <c r="D6" s="1"/>
  <c r="D28" i="16"/>
  <c r="C38"/>
  <c r="C25" i="14"/>
  <c r="E55" i="16"/>
  <c r="F6" i="20" l="1"/>
  <c r="H7"/>
  <c r="D99" i="16"/>
  <c r="D96" s="1"/>
  <c r="F62"/>
  <c r="D60"/>
  <c r="D56"/>
  <c r="D55" s="1"/>
  <c r="E58"/>
  <c r="D59"/>
  <c r="D27"/>
  <c r="D26"/>
  <c r="D51"/>
  <c r="D50"/>
  <c r="H6" i="20" l="1"/>
  <c r="D29" i="16"/>
  <c r="F29" s="1"/>
  <c r="C91"/>
  <c r="F114"/>
  <c r="F113"/>
  <c r="E112"/>
  <c r="E98"/>
  <c r="F98" s="1"/>
  <c r="E97"/>
  <c r="E67"/>
  <c r="F67" s="1"/>
  <c r="E68"/>
  <c r="F68" s="1"/>
  <c r="E70"/>
  <c r="F70" s="1"/>
  <c r="E71"/>
  <c r="F71" s="1"/>
  <c r="E73"/>
  <c r="F72"/>
  <c r="F75"/>
  <c r="D25" l="1"/>
  <c r="F73"/>
  <c r="F97"/>
  <c r="F112"/>
  <c r="D112"/>
  <c r="E99"/>
  <c r="E96" s="1"/>
  <c r="F99" l="1"/>
  <c r="F96" s="1"/>
  <c r="D91" l="1"/>
  <c r="E91" s="1"/>
  <c r="D87"/>
  <c r="D88"/>
  <c r="D89"/>
  <c r="D90"/>
  <c r="D86"/>
  <c r="E81" l="1"/>
  <c r="F81" s="1"/>
  <c r="E80"/>
  <c r="E46"/>
  <c r="D45"/>
  <c r="E45" s="1"/>
  <c r="E44"/>
  <c r="E42"/>
  <c r="E41"/>
  <c r="E39"/>
  <c r="E37"/>
  <c r="E30"/>
  <c r="E25" s="1"/>
  <c r="E79" l="1"/>
  <c r="F80"/>
  <c r="F79" s="1"/>
  <c r="E38"/>
  <c r="E43"/>
  <c r="D43"/>
  <c r="F45"/>
  <c r="F44"/>
  <c r="D26" i="14"/>
  <c r="E26" s="1"/>
  <c r="F41" i="16"/>
  <c r="F40"/>
  <c r="F39"/>
  <c r="D32"/>
  <c r="E32" s="1"/>
  <c r="F43" l="1"/>
  <c r="F38"/>
  <c r="E9"/>
  <c r="D9"/>
  <c r="E16"/>
  <c r="D16"/>
  <c r="F15"/>
  <c r="D8" l="1"/>
  <c r="H63"/>
  <c r="E74"/>
  <c r="F66"/>
  <c r="F74" l="1"/>
  <c r="E18"/>
  <c r="E8" s="1"/>
  <c r="F14" l="1"/>
  <c r="E13" i="14"/>
  <c r="C24" i="18" l="1"/>
  <c r="C23" s="1"/>
  <c r="C7"/>
  <c r="C4" l="1"/>
  <c r="C18"/>
  <c r="C17" s="1"/>
  <c r="B23" s="1"/>
  <c r="F17" i="16"/>
  <c r="F16" s="1"/>
  <c r="F21"/>
  <c r="E33"/>
  <c r="F35"/>
  <c r="D36"/>
  <c r="F36" s="1"/>
  <c r="D31"/>
  <c r="D24" s="1"/>
  <c r="F51"/>
  <c r="D33" l="1"/>
  <c r="D61" l="1"/>
  <c r="F60"/>
  <c r="D54"/>
  <c r="F54" s="1"/>
  <c r="D53"/>
  <c r="F53" s="1"/>
  <c r="D52"/>
  <c r="F52" s="1"/>
  <c r="F91"/>
  <c r="D85"/>
  <c r="F28"/>
  <c r="F27"/>
  <c r="F26"/>
  <c r="C17" i="14"/>
  <c r="C16" s="1"/>
  <c r="C6" s="1"/>
  <c r="D20"/>
  <c r="F110" i="16"/>
  <c r="F109"/>
  <c r="E108"/>
  <c r="D108"/>
  <c r="F106"/>
  <c r="E95"/>
  <c r="F95" s="1"/>
  <c r="E94"/>
  <c r="E93"/>
  <c r="F93" s="1"/>
  <c r="E92"/>
  <c r="F92" s="1"/>
  <c r="E90"/>
  <c r="F90" s="1"/>
  <c r="E89"/>
  <c r="F89" s="1"/>
  <c r="E88"/>
  <c r="F88" s="1"/>
  <c r="E87"/>
  <c r="F87" s="1"/>
  <c r="E86"/>
  <c r="F86" s="1"/>
  <c r="C85"/>
  <c r="C84" s="1"/>
  <c r="C47" s="1"/>
  <c r="C23" s="1"/>
  <c r="E65"/>
  <c r="F59"/>
  <c r="F57"/>
  <c r="F56"/>
  <c r="E49"/>
  <c r="E48" s="1"/>
  <c r="F46"/>
  <c r="F42"/>
  <c r="F37"/>
  <c r="F34"/>
  <c r="F33" s="1"/>
  <c r="F22"/>
  <c r="F20"/>
  <c r="F19"/>
  <c r="F13"/>
  <c r="F12"/>
  <c r="F11"/>
  <c r="F10"/>
  <c r="C8"/>
  <c r="H8" s="1"/>
  <c r="E27" i="14"/>
  <c r="E25" s="1"/>
  <c r="D27"/>
  <c r="D25" s="1"/>
  <c r="E19"/>
  <c r="D19"/>
  <c r="D18"/>
  <c r="E9"/>
  <c r="D8"/>
  <c r="G155" i="13"/>
  <c r="G31" i="1"/>
  <c r="G146" i="13"/>
  <c r="G145" s="1"/>
  <c r="E9"/>
  <c r="E40"/>
  <c r="E34"/>
  <c r="G34"/>
  <c r="D34"/>
  <c r="G32"/>
  <c r="F140"/>
  <c r="G88"/>
  <c r="G87"/>
  <c r="G71" s="1"/>
  <c r="G86"/>
  <c r="G82"/>
  <c r="G81"/>
  <c r="G80"/>
  <c r="G79"/>
  <c r="G72"/>
  <c r="G74"/>
  <c r="G76"/>
  <c r="G75"/>
  <c r="G73"/>
  <c r="D7" i="14" l="1"/>
  <c r="E7"/>
  <c r="G7" s="1"/>
  <c r="E63" i="16"/>
  <c r="F94"/>
  <c r="C7"/>
  <c r="C6" s="1"/>
  <c r="H9" s="1"/>
  <c r="F55"/>
  <c r="F61"/>
  <c r="F58" s="1"/>
  <c r="D58"/>
  <c r="F9"/>
  <c r="F18"/>
  <c r="F85"/>
  <c r="F84" s="1"/>
  <c r="F65"/>
  <c r="F63" s="1"/>
  <c r="F30"/>
  <c r="F32"/>
  <c r="F31" s="1"/>
  <c r="E31"/>
  <c r="E24" s="1"/>
  <c r="D84"/>
  <c r="E85"/>
  <c r="E84" s="1"/>
  <c r="D17" i="14"/>
  <c r="D16" s="1"/>
  <c r="E17"/>
  <c r="E16" s="1"/>
  <c r="F108" i="16"/>
  <c r="F66" i="1"/>
  <c r="E141" i="13"/>
  <c r="D141"/>
  <c r="G135"/>
  <c r="G114"/>
  <c r="F44" i="1"/>
  <c r="E47" i="16" l="1"/>
  <c r="E23" s="1"/>
  <c r="E6" i="14"/>
  <c r="D6"/>
  <c r="F25" i="16"/>
  <c r="F24" s="1"/>
  <c r="F8"/>
  <c r="D49"/>
  <c r="D48" s="1"/>
  <c r="D47" s="1"/>
  <c r="F50"/>
  <c r="F49" s="1"/>
  <c r="F48" s="1"/>
  <c r="F47" s="1"/>
  <c r="F13" i="1"/>
  <c r="F11" s="1"/>
  <c r="F10"/>
  <c r="F8" s="1"/>
  <c r="F18"/>
  <c r="G60" i="13"/>
  <c r="D40"/>
  <c r="G6" i="14" l="1"/>
  <c r="F23" i="16"/>
  <c r="H48"/>
  <c r="E7"/>
  <c r="H7" s="1"/>
  <c r="F7" i="1"/>
  <c r="F27" i="13"/>
  <c r="F28"/>
  <c r="F29"/>
  <c r="F30"/>
  <c r="F31"/>
  <c r="F26"/>
  <c r="G41"/>
  <c r="G40" s="1"/>
  <c r="F43"/>
  <c r="F39"/>
  <c r="F38"/>
  <c r="G29"/>
  <c r="G25"/>
  <c r="G23" s="1"/>
  <c r="F25"/>
  <c r="G26"/>
  <c r="G21"/>
  <c r="G44"/>
  <c r="G18"/>
  <c r="G16" s="1"/>
  <c r="D23"/>
  <c r="F24"/>
  <c r="G108"/>
  <c r="G140"/>
  <c r="H47" i="16" l="1"/>
  <c r="D23"/>
  <c r="H23" s="1"/>
  <c r="E6"/>
  <c r="F7"/>
  <c r="F6" s="1"/>
  <c r="G159" i="13"/>
  <c r="F23"/>
  <c r="D7" i="16" l="1"/>
  <c r="D6" s="1"/>
  <c r="I6" s="1"/>
  <c r="G39" i="1"/>
  <c r="G40"/>
  <c r="G30"/>
  <c r="G29"/>
  <c r="G65"/>
  <c r="G142" i="13"/>
  <c r="G11"/>
  <c r="G9" s="1"/>
  <c r="G8" s="1"/>
  <c r="G42" i="1"/>
  <c r="F32"/>
  <c r="F28"/>
  <c r="H6" i="16" l="1"/>
  <c r="G141" i="13"/>
  <c r="F41" i="1"/>
  <c r="F35"/>
  <c r="F25"/>
  <c r="F22"/>
  <c r="E138" i="13"/>
  <c r="G138"/>
  <c r="G99"/>
  <c r="E84"/>
  <c r="G83"/>
  <c r="G84" l="1"/>
  <c r="G98"/>
  <c r="F6" i="1"/>
  <c r="E77" i="13" l="1"/>
  <c r="E70"/>
  <c r="E69" l="1"/>
  <c r="G70"/>
  <c r="G77"/>
  <c r="G69" l="1"/>
  <c r="G91"/>
  <c r="E32"/>
  <c r="E8" s="1"/>
  <c r="G58"/>
  <c r="G51"/>
  <c r="G47"/>
  <c r="F10"/>
  <c r="E112"/>
  <c r="F112" s="1"/>
  <c r="H112" s="1"/>
  <c r="E110"/>
  <c r="F110" s="1"/>
  <c r="E64"/>
  <c r="F64" s="1"/>
  <c r="F11"/>
  <c r="F12"/>
  <c r="F13"/>
  <c r="F14"/>
  <c r="F15"/>
  <c r="F18"/>
  <c r="F19"/>
  <c r="F20"/>
  <c r="F21"/>
  <c r="F22"/>
  <c r="F33"/>
  <c r="F32" s="1"/>
  <c r="H32" s="1"/>
  <c r="F35"/>
  <c r="F36"/>
  <c r="F37"/>
  <c r="F41"/>
  <c r="F42"/>
  <c r="F48"/>
  <c r="F50"/>
  <c r="F60"/>
  <c r="F63"/>
  <c r="F79"/>
  <c r="F89"/>
  <c r="F108"/>
  <c r="F111"/>
  <c r="H111" s="1"/>
  <c r="F113"/>
  <c r="F139"/>
  <c r="F142"/>
  <c r="F145"/>
  <c r="F147"/>
  <c r="F148"/>
  <c r="F149"/>
  <c r="F151"/>
  <c r="E109"/>
  <c r="F109" s="1"/>
  <c r="E92"/>
  <c r="F92" s="1"/>
  <c r="E94"/>
  <c r="F94" s="1"/>
  <c r="H94" s="1"/>
  <c r="E96"/>
  <c r="F96" s="1"/>
  <c r="H96" s="1"/>
  <c r="E100"/>
  <c r="E101"/>
  <c r="F101" s="1"/>
  <c r="E102"/>
  <c r="F102" s="1"/>
  <c r="E103"/>
  <c r="F103" s="1"/>
  <c r="E104"/>
  <c r="F104" s="1"/>
  <c r="E106"/>
  <c r="F106" s="1"/>
  <c r="E107"/>
  <c r="F107" s="1"/>
  <c r="E52"/>
  <c r="E53"/>
  <c r="F53" s="1"/>
  <c r="E56"/>
  <c r="F56" s="1"/>
  <c r="E59"/>
  <c r="E61"/>
  <c r="F61" s="1"/>
  <c r="E62"/>
  <c r="F62" s="1"/>
  <c r="E65"/>
  <c r="F65" s="1"/>
  <c r="E66"/>
  <c r="F66" s="1"/>
  <c r="E49"/>
  <c r="E47" s="1"/>
  <c r="D150"/>
  <c r="F150" s="1"/>
  <c r="D146"/>
  <c r="F146" s="1"/>
  <c r="D138"/>
  <c r="D105"/>
  <c r="D99"/>
  <c r="C99"/>
  <c r="C98" s="1"/>
  <c r="D97"/>
  <c r="E97" s="1"/>
  <c r="D95"/>
  <c r="D93" s="1"/>
  <c r="C90"/>
  <c r="D88"/>
  <c r="F88" s="1"/>
  <c r="D87"/>
  <c r="F87" s="1"/>
  <c r="D86"/>
  <c r="F86" s="1"/>
  <c r="D85"/>
  <c r="D83"/>
  <c r="F83" s="1"/>
  <c r="D82"/>
  <c r="F82" s="1"/>
  <c r="D81"/>
  <c r="F81" s="1"/>
  <c r="D80"/>
  <c r="F80" s="1"/>
  <c r="D78"/>
  <c r="F78" s="1"/>
  <c r="D76"/>
  <c r="F76" s="1"/>
  <c r="D75"/>
  <c r="F75" s="1"/>
  <c r="D74"/>
  <c r="F74" s="1"/>
  <c r="D73"/>
  <c r="F73" s="1"/>
  <c r="D72"/>
  <c r="F72" s="1"/>
  <c r="D71"/>
  <c r="F71" s="1"/>
  <c r="C69"/>
  <c r="C68" s="1"/>
  <c r="D58"/>
  <c r="D57" s="1"/>
  <c r="D55" s="1"/>
  <c r="C57"/>
  <c r="C55" s="1"/>
  <c r="D54"/>
  <c r="D51" s="1"/>
  <c r="C51"/>
  <c r="D47"/>
  <c r="D32"/>
  <c r="D17"/>
  <c r="D16" s="1"/>
  <c r="D9" s="1"/>
  <c r="C8"/>
  <c r="D8" l="1"/>
  <c r="F40"/>
  <c r="H40" s="1"/>
  <c r="H113"/>
  <c r="G156"/>
  <c r="F34"/>
  <c r="H103"/>
  <c r="H104"/>
  <c r="H109"/>
  <c r="H106"/>
  <c r="H101"/>
  <c r="H92"/>
  <c r="G158"/>
  <c r="G157" s="1"/>
  <c r="H107"/>
  <c r="H102"/>
  <c r="H110"/>
  <c r="F141"/>
  <c r="H141" s="1"/>
  <c r="H108"/>
  <c r="G57"/>
  <c r="G55" s="1"/>
  <c r="G90"/>
  <c r="G68" s="1"/>
  <c r="F70"/>
  <c r="F77"/>
  <c r="D98"/>
  <c r="F138"/>
  <c r="H138" s="1"/>
  <c r="E51"/>
  <c r="E99"/>
  <c r="E98" s="1"/>
  <c r="E58"/>
  <c r="E57" s="1"/>
  <c r="E55" s="1"/>
  <c r="D84"/>
  <c r="D91"/>
  <c r="D90" s="1"/>
  <c r="E93"/>
  <c r="F93" s="1"/>
  <c r="F105"/>
  <c r="F97"/>
  <c r="F95"/>
  <c r="H95" s="1"/>
  <c r="F85"/>
  <c r="F84" s="1"/>
  <c r="F59"/>
  <c r="F58" s="1"/>
  <c r="F54"/>
  <c r="F52"/>
  <c r="F49"/>
  <c r="F17"/>
  <c r="D70"/>
  <c r="D77"/>
  <c r="F100"/>
  <c r="F16"/>
  <c r="F9" s="1"/>
  <c r="C67"/>
  <c r="C46" s="1"/>
  <c r="C7" s="1"/>
  <c r="C6" s="1"/>
  <c r="G150" l="1"/>
  <c r="H93"/>
  <c r="F47"/>
  <c r="H105"/>
  <c r="H97"/>
  <c r="H9"/>
  <c r="F57"/>
  <c r="F55" s="1"/>
  <c r="H55" s="1"/>
  <c r="F99"/>
  <c r="H99" s="1"/>
  <c r="H100"/>
  <c r="F69"/>
  <c r="H69" s="1"/>
  <c r="G67"/>
  <c r="E91"/>
  <c r="E90" s="1"/>
  <c r="E68" s="1"/>
  <c r="F91"/>
  <c r="F51"/>
  <c r="H51" s="1"/>
  <c r="F44"/>
  <c r="F8" s="1"/>
  <c r="D69"/>
  <c r="D68" s="1"/>
  <c r="D67" s="1"/>
  <c r="H47" l="1"/>
  <c r="H44"/>
  <c r="F90"/>
  <c r="H90" s="1"/>
  <c r="H91"/>
  <c r="F98"/>
  <c r="H98" s="1"/>
  <c r="G46"/>
  <c r="G7" s="1"/>
  <c r="G6" s="1"/>
  <c r="E67"/>
  <c r="E46" s="1"/>
  <c r="E7" s="1"/>
  <c r="E6" s="1"/>
  <c r="D46"/>
  <c r="H8" l="1"/>
  <c r="F68"/>
  <c r="H68" s="1"/>
  <c r="D7"/>
  <c r="F67" l="1"/>
  <c r="F46" s="1"/>
  <c r="F7" s="1"/>
  <c r="F6" s="1"/>
  <c r="D6"/>
  <c r="H67" l="1"/>
  <c r="H46"/>
  <c r="H6" l="1"/>
  <c r="H7"/>
  <c r="D18" i="1" l="1"/>
  <c r="D7" s="1"/>
  <c r="E16"/>
  <c r="D24"/>
  <c r="E24" s="1"/>
  <c r="D23"/>
  <c r="E23" s="1"/>
  <c r="D66"/>
  <c r="E66"/>
  <c r="G66" s="1"/>
  <c r="E43"/>
  <c r="E41" s="1"/>
  <c r="G41" s="1"/>
  <c r="D43"/>
  <c r="D41" s="1"/>
  <c r="E11"/>
  <c r="E8"/>
  <c r="D26"/>
  <c r="D27"/>
  <c r="D28"/>
  <c r="D31"/>
  <c r="D32"/>
  <c r="D37"/>
  <c r="D38"/>
  <c r="C36"/>
  <c r="C35" s="1"/>
  <c r="C41"/>
  <c r="C66"/>
  <c r="E38"/>
  <c r="G38" s="1"/>
  <c r="E37"/>
  <c r="G37" s="1"/>
  <c r="E28"/>
  <c r="E32"/>
  <c r="C28"/>
  <c r="C25" s="1"/>
  <c r="E18"/>
  <c r="C6" l="1"/>
  <c r="D22"/>
  <c r="D36"/>
  <c r="D35" s="1"/>
  <c r="G32"/>
  <c r="E25"/>
  <c r="G25" s="1"/>
  <c r="G28"/>
  <c r="E22"/>
  <c r="G22" s="1"/>
  <c r="E36"/>
  <c r="D25"/>
  <c r="E7"/>
  <c r="G7" s="1"/>
  <c r="D6" l="1"/>
  <c r="E35"/>
  <c r="G35" s="1"/>
  <c r="G36"/>
  <c r="E6" l="1"/>
  <c r="G6" s="1"/>
</calcChain>
</file>

<file path=xl/sharedStrings.xml><?xml version="1.0" encoding="utf-8"?>
<sst xmlns="http://schemas.openxmlformats.org/spreadsheetml/2006/main" count="769" uniqueCount="470">
  <si>
    <t>STT</t>
  </si>
  <si>
    <t>A</t>
  </si>
  <si>
    <t>I</t>
  </si>
  <si>
    <t>II</t>
  </si>
  <si>
    <t>III</t>
  </si>
  <si>
    <t>B</t>
  </si>
  <si>
    <t>1.1</t>
  </si>
  <si>
    <t>1.2</t>
  </si>
  <si>
    <t>1.3</t>
  </si>
  <si>
    <t>1.4</t>
  </si>
  <si>
    <t>2.1</t>
  </si>
  <si>
    <t xml:space="preserve">                    Đơn vị tính : Đồng</t>
  </si>
  <si>
    <t>Nội dung</t>
  </si>
  <si>
    <t>DTNS huyện giao</t>
  </si>
  <si>
    <t>*Tổng thu</t>
  </si>
  <si>
    <t>Tiền sử dụng đất</t>
  </si>
  <si>
    <t>3.1</t>
  </si>
  <si>
    <t>Thu quỹ đất 5%</t>
  </si>
  <si>
    <t>Thu Phí ,Lệ phí</t>
  </si>
  <si>
    <t>3.3</t>
  </si>
  <si>
    <t>Lệ phí môn bài hộ cá thể</t>
  </si>
  <si>
    <t>Phí trước bạ đất</t>
  </si>
  <si>
    <t>5.1</t>
  </si>
  <si>
    <t>5.2</t>
  </si>
  <si>
    <t>Thu phạt</t>
  </si>
  <si>
    <t>Các khoản thu phân chia tỷ lệ :</t>
  </si>
  <si>
    <t>Thuế TNCN</t>
  </si>
  <si>
    <t>IV</t>
  </si>
  <si>
    <t>Thu bổ sung ngân sách</t>
  </si>
  <si>
    <t>Bổ sung cân đối</t>
  </si>
  <si>
    <t>Bổ sung có mục tiêu</t>
  </si>
  <si>
    <t>V</t>
  </si>
  <si>
    <t>Chi khác</t>
  </si>
  <si>
    <t>VI</t>
  </si>
  <si>
    <t>Thuế  GTGT- TNDN</t>
  </si>
  <si>
    <t xml:space="preserve">Các khoản thu cố định tại xã </t>
  </si>
  <si>
    <t>Thu khác ngân sách</t>
  </si>
  <si>
    <t>Nội dung chi</t>
  </si>
  <si>
    <t>Chi cân đối qua ngân sách (I+II+III)</t>
  </si>
  <si>
    <t>Chi đầu tư phát triển</t>
  </si>
  <si>
    <t>Chi thường xuyên</t>
  </si>
  <si>
    <t>Chi Quốc phòng - An ninh</t>
  </si>
  <si>
    <t>- Chi sự nghiệp văn hóa thông tin</t>
  </si>
  <si>
    <t xml:space="preserve">Chi quản lý hành chính </t>
  </si>
  <si>
    <t>+Phụ cấp công vụ</t>
  </si>
  <si>
    <t>+Cán bộ đề án 500</t>
  </si>
  <si>
    <t>+Phụ cấp cấp ủy</t>
  </si>
  <si>
    <t>+Phụ cấp người hoạt động không chuyên trách</t>
  </si>
  <si>
    <t>+Phụ cấp Luật dân quân tự vệ</t>
  </si>
  <si>
    <t>+Phụ cấp thâm niên DQTV</t>
  </si>
  <si>
    <t>+Phụ cấp đặc thù DQTV</t>
  </si>
  <si>
    <t>+Phụ cấp hành chính 1 cửa</t>
  </si>
  <si>
    <t>Chi dự phòng</t>
  </si>
  <si>
    <t>Các khoản chi để lại qua quản lý NSX</t>
  </si>
  <si>
    <t>Dự phòng</t>
  </si>
  <si>
    <t>Chi khen thưởng</t>
  </si>
  <si>
    <t>1.7</t>
  </si>
  <si>
    <t>1.10</t>
  </si>
  <si>
    <t>1.12</t>
  </si>
  <si>
    <t>1.13</t>
  </si>
  <si>
    <t>- Chi khác</t>
  </si>
  <si>
    <t>+Phụ cấp hội đặc thù</t>
  </si>
  <si>
    <t>Thu hoa lợi công sản</t>
  </si>
  <si>
    <t>Thu khác</t>
  </si>
  <si>
    <t>Hợp tác xã</t>
  </si>
  <si>
    <t xml:space="preserve">                                Phụ lục số 02</t>
  </si>
  <si>
    <t>Chi hoạt động công tác Đảng theo QĐ 99/QĐ-TW</t>
  </si>
  <si>
    <t>-Cán bộ công chức</t>
  </si>
  <si>
    <t>+Sinh hoạt phí đại biểu hội đồng nhân dân</t>
  </si>
  <si>
    <t>+Phụ cấp các ban của  HĐND</t>
  </si>
  <si>
    <t>-Người hoạt động không chuyên trách</t>
  </si>
  <si>
    <t>Đơn vị tính: đồng</t>
  </si>
  <si>
    <t>DTNS HĐND xã giao</t>
  </si>
  <si>
    <t>Chi xây dựng cơ bản</t>
  </si>
  <si>
    <t>- Chi quản lý đô thị</t>
  </si>
  <si>
    <t>- Chi phòng chống dịch bệnh</t>
  </si>
  <si>
    <t>Các khoản thu để lại quản lý qua NS xã</t>
  </si>
  <si>
    <t>Thu huy động đóng góp của nhân dân</t>
  </si>
  <si>
    <t>1.6</t>
  </si>
  <si>
    <t>1.8</t>
  </si>
  <si>
    <t>Phụ lục số 01</t>
  </si>
  <si>
    <t>1.9</t>
  </si>
  <si>
    <t>- Chi sơ kết, tổng kết QP - AN</t>
  </si>
  <si>
    <t>Chi hoạt động của HĐND + UBND</t>
  </si>
  <si>
    <t>- Chi hoạt động của HĐND</t>
  </si>
  <si>
    <t>- Chi hoạt động của UBND</t>
  </si>
  <si>
    <t>Hộ cá thể ( gồm vãng lai)</t>
  </si>
  <si>
    <t>DTNS xã hưởng</t>
  </si>
  <si>
    <t>DT HĐND xã giao</t>
  </si>
  <si>
    <t>Chi sự nghiệp văn xã</t>
  </si>
  <si>
    <t>Sự nghiệp VHTT - TDTT</t>
  </si>
  <si>
    <t>Văn hóa thông tin - TDTT</t>
  </si>
  <si>
    <t>Sự nghiệp y tế, dân số và gia đình</t>
  </si>
  <si>
    <t>Sự nghiệp phát thanh truyền hình</t>
  </si>
  <si>
    <t>- Chi thực hiện toàn dân XD- ĐSVH khu dân cư, hỗ trợ làng VH, các ngày lễ lớn…</t>
  </si>
  <si>
    <t>- Chi sự nghiệp TDTT</t>
  </si>
  <si>
    <t xml:space="preserve">Chi sự nghiệp giáo dục và đào tạo </t>
  </si>
  <si>
    <t>3.2</t>
  </si>
  <si>
    <t>Chi QLHC theo định mức</t>
  </si>
  <si>
    <t>Chi theo NĐ 116</t>
  </si>
  <si>
    <t>- Chi mua sắm tài sản</t>
  </si>
  <si>
    <t>- Chi khoán công tác phí</t>
  </si>
  <si>
    <t>- Chi công tác bão lụt</t>
  </si>
  <si>
    <t>Chi hỗ trợ hoạt động các tổ chức chính trị xã hội ở xã, thôn</t>
  </si>
  <si>
    <t>- Chi hoạt động của Mặt trận</t>
  </si>
  <si>
    <t xml:space="preserve">- Chi hoạt động của Phụ nữ </t>
  </si>
  <si>
    <t xml:space="preserve">- Chi hoạt động của Đoàn thanh niên </t>
  </si>
  <si>
    <t>- Chi hoạt động của Hội cựu chiến binh</t>
  </si>
  <si>
    <t>- Chi hoạt động của Hội nông dân</t>
  </si>
  <si>
    <t>3.2.1</t>
  </si>
  <si>
    <t>3.2.2</t>
  </si>
  <si>
    <t>Ban thanh tra nhân dân</t>
  </si>
  <si>
    <t>Các loại quỹ</t>
  </si>
  <si>
    <t>- Quỹ QP - AN</t>
  </si>
  <si>
    <t>- Quỹ Đền ơn đáp nghĩa</t>
  </si>
  <si>
    <t>Kinh phí hỗ trợ nhà ở theo QĐ 48</t>
  </si>
  <si>
    <t>- Chi hoạt động của An ninh ( gồm cả trực cơ quan và các hoạt động TX )</t>
  </si>
  <si>
    <t>C</t>
  </si>
  <si>
    <r>
      <t xml:space="preserve">Lệ phí chứng thực và hộ tịch </t>
    </r>
    <r>
      <rPr>
        <i/>
        <sz val="9"/>
        <rFont val="Times New Roman"/>
        <family val="1"/>
      </rPr>
      <t>( bao gồm cả lệ phí đăng ký cư trú)</t>
    </r>
  </si>
  <si>
    <t>1.5</t>
  </si>
  <si>
    <t>1.11</t>
  </si>
  <si>
    <t>Chi trả nợ</t>
  </si>
  <si>
    <t>% so với kế hoạch</t>
  </si>
  <si>
    <t>4.1</t>
  </si>
  <si>
    <t>4.2</t>
  </si>
  <si>
    <t>Bổ sung có mục tiêu khác</t>
  </si>
  <si>
    <t>Chi bổ sung có mục tiêu khác</t>
  </si>
  <si>
    <t>Chi hỗ trợ hoạt động các tổ chức chính trị xã hội cấp xã ( chưa tiết kiệm chi 10%)</t>
  </si>
  <si>
    <t>4.3</t>
  </si>
  <si>
    <t>4.4</t>
  </si>
  <si>
    <t>4.5</t>
  </si>
  <si>
    <t>4.6</t>
  </si>
  <si>
    <t>4.7</t>
  </si>
  <si>
    <t>Đường Phước Lâm - đê ICO</t>
  </si>
  <si>
    <t>Hàng rào mặt bên Trường THCS Ngô Thế Lân</t>
  </si>
  <si>
    <t>San nền, xây mới hàng rào Trường tiểu học số 2 (cơ sở Phước Lý)</t>
  </si>
  <si>
    <t>San lấp mặt bằng, xây mới hàng rào mặt bên Trường tiểu học số 2 (cơ sở Phước Lập)</t>
  </si>
  <si>
    <t xml:space="preserve">Tường rào trường Mầm non Quảng Phước ( cơ sở PLập )      </t>
  </si>
  <si>
    <t xml:space="preserve">Tường rào trường Mầm non cơ sở Trung tâm                         </t>
  </si>
  <si>
    <t>- HĐND xã giao năm 2019</t>
  </si>
  <si>
    <t>San nền trường THCS Ngô Thế Lân</t>
  </si>
  <si>
    <t>Tăng dộ dày lớp bảo vệ bê tông Trường MN Quảng Phước ( CS Phước Lập)</t>
  </si>
  <si>
    <t xml:space="preserve">Trả nợ NS huyện xây dựng Nhà văn hóa xã                                           </t>
  </si>
  <si>
    <t>Kinh phí hỗ trợ phát triển sản xuất, đa dạng hóa sinh kế và nhân rộng mô hình giảm nghèo thực hiện Chương trình mục tiêu quốc gia Giảm nghèo bền vững năm 2018 ( đợt 3)</t>
  </si>
  <si>
    <t>Kinh phí hỗ trợ phát triển sản xuất, đa dạng hóa sinh kế và nhân rộng mô hình giảm nghèo thực hiện Chương trình mục tiêu quốc gia Giảm nghèo bền vững năm 2018 ( đợt 1)</t>
  </si>
  <si>
    <t>Kinh phí xây dựng Cống Ô Bàn</t>
  </si>
  <si>
    <t xml:space="preserve">+Lương phụ cấp + BHXH, BHYT </t>
  </si>
  <si>
    <t>- Chi hoạt động của Quốc phòng ( gồm cả trực cơ quan, hoạt động TX và huấn luyện, tuyển quân)</t>
  </si>
  <si>
    <t>+ Phụ cấp thâm niên công an</t>
  </si>
  <si>
    <t>Chi đối ứng</t>
  </si>
  <si>
    <t>Đường vào trường tiểu học số 1 và san nền phía sau</t>
  </si>
  <si>
    <t xml:space="preserve">Lập quy hoạch, cắm mốc phân lô đấu giá QSD đất                  </t>
  </si>
  <si>
    <t>San nền + tường rào Trạm y tế</t>
  </si>
  <si>
    <t xml:space="preserve">Bê tông đường khu dân cư mới thôn Thủ Lễ 2                        </t>
  </si>
  <si>
    <t>Lắp đặt cột cờ Nhà văn hóa và trụ sở UBND xã Quảng Phước</t>
  </si>
  <si>
    <t xml:space="preserve">Trường Mầm non Quảng Phước cơ sở Phước Lập                    </t>
  </si>
  <si>
    <t>Đường thôn Khuông Phò, Thủ Lễ 2 (đường Cồn đầm, xóm 6 TL2)</t>
  </si>
  <si>
    <t>Đường thôn Mai Dương</t>
  </si>
  <si>
    <t>Chi hỗ trợ hoạt động các tổ chức chính trị thôn</t>
  </si>
  <si>
    <t xml:space="preserve">3.4 </t>
  </si>
  <si>
    <t>Quỹ lương, phụ cấp QLHC</t>
  </si>
  <si>
    <t>4.1.1</t>
  </si>
  <si>
    <t>4.1.2</t>
  </si>
  <si>
    <t>4.1.3</t>
  </si>
  <si>
    <t>4.2.1</t>
  </si>
  <si>
    <t>4.2.2</t>
  </si>
  <si>
    <t>- Các khoản phụ cấp khác</t>
  </si>
  <si>
    <t>+ KPCĐ CB công chức</t>
  </si>
  <si>
    <t>+Bảo hiểm thất nghiệp1%</t>
  </si>
  <si>
    <t>+ BHYT, BHXH người hoạt động không chuyên trách xã</t>
  </si>
  <si>
    <t>4.1.3.1</t>
  </si>
  <si>
    <t>4.1.3.2</t>
  </si>
  <si>
    <r>
      <t xml:space="preserve">Chi sự nghiệp kinh tế </t>
    </r>
    <r>
      <rPr>
        <b/>
        <sz val="9"/>
        <rFont val="Times New Roman"/>
        <family val="1"/>
      </rPr>
      <t>( Bao gồm SNKT 53trđ và Quản lý đô thị 5trđ)</t>
    </r>
  </si>
  <si>
    <r>
      <t xml:space="preserve">Chi công tác hòa giải cấp cơ sở, tuyên truyền pháp luật </t>
    </r>
    <r>
      <rPr>
        <sz val="10"/>
        <rFont val="Times New Roman"/>
        <family val="1"/>
      </rPr>
      <t>( chưa tiết kiệm chi 10%)</t>
    </r>
  </si>
  <si>
    <t>Chi các khoản tồn quỹ, chuyển nguồn năm 2018 sang</t>
  </si>
  <si>
    <t>Tạo nguồn cải cách tiền lương từ việc huy động 10% tiết kiệm chi thường xuyên</t>
  </si>
  <si>
    <t>VII</t>
  </si>
  <si>
    <t>Xây mới hàng rào mặt bên trường tiểu học số 2 Quảng Phước ( cơ sở chính)</t>
  </si>
  <si>
    <t>- HĐND xã giao năm 2018 chuyển sang</t>
  </si>
  <si>
    <t>Kinh phí thực hiện CTMTQG</t>
  </si>
  <si>
    <t>D</t>
  </si>
  <si>
    <t>Chi chuyển nguồn sang năm 2020</t>
  </si>
  <si>
    <t>- Kinh phí tiền lương</t>
  </si>
  <si>
    <t>- Kinh phí Đại hội UBMTTQVN</t>
  </si>
  <si>
    <t>Kinh phí 50% tăng thu ( thuộc NS huyện)</t>
  </si>
  <si>
    <t>Chi giám sát, phản biện xã hội</t>
  </si>
  <si>
    <t>Hoạt động Hội chữ thập đỏ</t>
  </si>
  <si>
    <t>4.8</t>
  </si>
  <si>
    <t>4.9</t>
  </si>
  <si>
    <t>Chi Đại hội MTTQVN xã ( bổ sung trong năm)</t>
  </si>
  <si>
    <t>- Chi đua thuyền tại huyện, xã, đá bóng</t>
  </si>
  <si>
    <t>DTNS tiết kiệm chi 10%</t>
  </si>
  <si>
    <t>DTNS sau khi trừ tiết kiệm</t>
  </si>
  <si>
    <t>E</t>
  </si>
  <si>
    <t>Chi tiết kiệm 10% cải cách tiền lương</t>
  </si>
  <si>
    <t>Nâng cấp, sữa chữa bộ phận tiếp nhận và trả kết quả</t>
  </si>
  <si>
    <t>Đường về KDC mới thôn Thủ lễ 2</t>
  </si>
  <si>
    <t>Kinh phí nhà ở có công theo QĐ 22/2013/QĐ-TTg</t>
  </si>
  <si>
    <t>Kinh phí sự nghiệp kinh tế</t>
  </si>
  <si>
    <t>Tồn quỹ năm 2018 chuyển sang</t>
  </si>
  <si>
    <t>Thu chuyển nguồn năm 2018 sang 2019</t>
  </si>
  <si>
    <t>Chi thu hồi các khoản chuyển nguồn năm trước sang</t>
  </si>
  <si>
    <t>F</t>
  </si>
  <si>
    <t>Kinh phí hỗ trợ nhà ở có công</t>
  </si>
  <si>
    <t>ƯỚC THỰC HIỆN DỰ TOÁN THU NGÂN SÁCH NĂM 2019</t>
  </si>
  <si>
    <t>Ước thực hiện</t>
  </si>
  <si>
    <t>- Kinh phí trang cấp thiết bị phục vụ đề án xây dựng bộ phận tiếp nhận và trả kết quả hiện đại</t>
  </si>
  <si>
    <t>- Kinh phí vớt bèo tây, diệt cây mắt mèo và các hoạt động khác về môi trường</t>
  </si>
  <si>
    <t>- Kinh phí phụ cấp tổ trưởng NTTS</t>
  </si>
  <si>
    <t>- Kinh phí tổ chức lễ công bố xã đạt chuẩn nông thôn mới</t>
  </si>
  <si>
    <t>-  Kinh phí xây dựng Cống nội đồng Đạt giữa</t>
  </si>
  <si>
    <t>-  Kinh phí phục vụ công tác phòng chống dịch tả lợn Châu Phi ( đợt 1)</t>
  </si>
  <si>
    <t>-  Kinh phí diễn tập chiến đấu phòng thủ cấp xã năm 2019</t>
  </si>
  <si>
    <t>-  Kinh phí thực hiện chương trình mục tiêu Quốc gia về xây dựng NTM</t>
  </si>
  <si>
    <t>-  Kinh phí lắp đặt dụng cụ thể dục thể thao ngoài trời</t>
  </si>
  <si>
    <t>-  Kinh phí mua sắm trang thiết bị theo Đề án xây dựng Bộ phận tiếp nhận và trả kết quả hiện đại của xã năm 2019</t>
  </si>
  <si>
    <t>-  Kinh phí sữa chữa Trạm bơm tiêu Mai Dương</t>
  </si>
  <si>
    <t>-  Kinh phí Đường Mai Dương – đê Ê CÔ, xã Quảng Phước</t>
  </si>
  <si>
    <t>-  Kinh phí tiêu hủy lợn do mắc dịch tả lợn Châu Phi ( đợt 1)</t>
  </si>
  <si>
    <t>-  Kinh phí tiêu hủy lợn do mắc dịch tả lợn Châu Phi ( đợt 2)</t>
  </si>
  <si>
    <t>-  Kinh phí tổ chức thực hiện “ Ngày Chủ nhật xanh” năm 2019</t>
  </si>
  <si>
    <t>- Kinh phí thực hiện tiền lương tăng thêm theo Nghị định 38/2019/NĐ-CP của Chính Phủ</t>
  </si>
  <si>
    <t>- Kinh phí tổ chức lễ công bố xã đạt chuẩn Nông thôn mới</t>
  </si>
  <si>
    <t>ƯỚC THỰC HIỆN DỰ TOÁN CHI NGÂN SÁCH NĂM 2019</t>
  </si>
  <si>
    <t>3.16</t>
  </si>
  <si>
    <t>3.17</t>
  </si>
  <si>
    <t>3.18</t>
  </si>
  <si>
    <t>- Kinh phí tiêu hủy lợn do mắc bệnh dịch tả lợn Châu Phi ( đợt 3)</t>
  </si>
  <si>
    <t>- Kinh phí dự án sản xuất nông nghiệp tổng hợp tại xã Quảng Phước, thuộc chương trình 30A</t>
  </si>
  <si>
    <t>3.19</t>
  </si>
  <si>
    <t>3.20</t>
  </si>
  <si>
    <t>-  Kinh phí phục vụ công tác phòng chống dịch tả lợn Châu Phi</t>
  </si>
  <si>
    <r>
      <t>Chi sự nghiệp đảm bảo xã hội</t>
    </r>
    <r>
      <rPr>
        <sz val="8"/>
        <rFont val="Times New Roman"/>
        <family val="1"/>
      </rPr>
      <t xml:space="preserve"> (Trong đó: Vì sự tiến bộ phụ nữ + 2 đề án: 4tr)</t>
    </r>
  </si>
  <si>
    <t>Ước thực hiện năm 2019</t>
  </si>
  <si>
    <t>+ Dự toán HĐND xã giao đầu năm</t>
  </si>
  <si>
    <t>+ Điều chỉnh tăng</t>
  </si>
  <si>
    <t>Chỉnh trang khuôn viên Trạm y tế và cải tạo hàng rào mặt trước trụ sở UB, trụ sở xã đội</t>
  </si>
  <si>
    <t>Cột cờ, sân bê tông trường TH số 2 Quảng Phước</t>
  </si>
  <si>
    <t>Nhà vệ sinh cơ quan và cải tạo sân vườn mặt sau cơ quan</t>
  </si>
  <si>
    <t>San nền mặt trước và cải tạo, nâng cấp trường THCS Ngô Thế Lân</t>
  </si>
  <si>
    <t>Xây dựng bồn hoa tại các xóm</t>
  </si>
  <si>
    <t>Xây dựng bồn hoa tại Nhà văn hóa xã</t>
  </si>
  <si>
    <t>Sữa chữa Trạm bơm tiêu Mai Dương</t>
  </si>
  <si>
    <t>Đấu nối ống thoát nước xóm 7, thủ lễ 2</t>
  </si>
  <si>
    <t>- Thu chênh lệch</t>
  </si>
  <si>
    <t>- Dự toán đầu năm</t>
  </si>
  <si>
    <r>
      <t xml:space="preserve">Nộp tiền bảo vệ và phát triển đất trồng lúa </t>
    </r>
    <r>
      <rPr>
        <i/>
        <sz val="10"/>
        <rFont val="Times New Roman"/>
        <family val="1"/>
      </rPr>
      <t>( khu vực Hói Đen)</t>
    </r>
  </si>
  <si>
    <t xml:space="preserve">Kinh phí xây dựng Cống Ô Bàn </t>
  </si>
  <si>
    <t>Sự nghiệp kinh tế</t>
  </si>
  <si>
    <t>Kinh phí mua sắm trang thiết bị theo Đề án xây dựng bộ phận tiếp nhận và trả kết quả hiện đại</t>
  </si>
  <si>
    <t>Kinh phí tiền lương, thường xuyên</t>
  </si>
  <si>
    <t>Kinh phí dự phòng</t>
  </si>
  <si>
    <t>Tổng chi ngân sách xã (A + B + C + D + E+F)</t>
  </si>
  <si>
    <t>Ghi chú</t>
  </si>
  <si>
    <t>Phụ lục số 01</t>
  </si>
  <si>
    <t>Thuế sử dụng đất PNN</t>
  </si>
  <si>
    <t>- Trích 10% tiết kiệm chi thường xuyên để CCTL</t>
  </si>
  <si>
    <t xml:space="preserve">Chi sự nghiệp kinh tế </t>
  </si>
  <si>
    <t>Chi sự nghiệp đảm bảo xã hội</t>
  </si>
  <si>
    <t>Chi công tác hòa giải cấp cơ sở, tuyên truyền pháp luật</t>
  </si>
  <si>
    <t>Chi hoạt động ban giám sát đầu tư cộng đồng</t>
  </si>
  <si>
    <t>Chi công tác quản lý trật tự đô thị</t>
  </si>
  <si>
    <t>Chi hoạt động của Quốc phòng</t>
  </si>
  <si>
    <t>Chi hoạt động của An ninh</t>
  </si>
  <si>
    <t>- Chi khác</t>
  </si>
  <si>
    <t>Tổng chi ngân sách xã (A + B + C + D)</t>
  </si>
  <si>
    <t>thu khác ngân sách</t>
  </si>
  <si>
    <t>huyện giao</t>
  </si>
  <si>
    <t>HĐND xã giao</t>
  </si>
  <si>
    <t>thu khác</t>
  </si>
  <si>
    <t xml:space="preserve">thu phạt </t>
  </si>
  <si>
    <t>chi hỗ trợ tình nguyện viên tham gia HMNĐ</t>
  </si>
  <si>
    <t>Chi đại hội Chi bộ</t>
  </si>
  <si>
    <t>phần tăng thu xã hưởng</t>
  </si>
  <si>
    <t>phần còn lại chưa phân bổ dự toán. Sau khi có phần tăng thu sẽ phân tích chi phần tăng thu riêng</t>
  </si>
  <si>
    <t>Chi Đại hội Hội người tù yêu nước</t>
  </si>
  <si>
    <t>Chi hỗ trợ khác ( các hội từ thiện)</t>
  </si>
  <si>
    <t>DỰ KiẾN CÁC KHOẢN CHI KHÁC VÀ TĂNG THU</t>
  </si>
  <si>
    <t>Chi hỗ trợ CB, CC các ngày lễ ( 30/4,1/5, 2/9, giỗ tổ hùng vương</t>
  </si>
  <si>
    <t>Chi hỗ trợ các đoàn thể tăng dtoan: 15trd chưa trừ Tkiem</t>
  </si>
  <si>
    <t>Chi hỗ trợ Ban giám sát đầu tư của cộng đồng</t>
  </si>
  <si>
    <t>Chi chuyển nguồn sang năm 2021 ( nguồn tăng thu 50%)</t>
  </si>
  <si>
    <t>+ Chi hoạt động TX ( bao gồm hội nghị QP-AN )</t>
  </si>
  <si>
    <t>Chi hỗ trợ hoạt động các tổ chức chính trị xã hội cấp xã</t>
  </si>
  <si>
    <t>Nâng cấp, cải tạo Trụ sở cơ quan xã Quảng Phước và một số hạng mục khác</t>
  </si>
  <si>
    <t>Giải phóng mặt bằng xây dựng Nhà văn hóa thôn Lâm Lý</t>
  </si>
  <si>
    <t>Hỗ trợ xi măng tại các tuyến đường GTNT</t>
  </si>
  <si>
    <t>GPMB khu dịch vụ từ cầu Đan Điền đến cấu Bộ phi ( Giai đoạn 1)</t>
  </si>
  <si>
    <t>Hạ tầng điện, cấp thoát nước, đường giao thông, san lấp mặt bằng khu dân cư mới Hói Đen, Cửa Rào Nam, Bắc  + GPMB (giai đoạn 1)</t>
  </si>
  <si>
    <t>Duy tu bão dưỡng các tuyến đường GTNT do xã quản lý</t>
  </si>
  <si>
    <t>Đê bao nội đồng Bạch Đằng, xã Quảng Phước ( GĐ2)</t>
  </si>
  <si>
    <t>Lập quy hoạch, cắm mốc phân lô đấu giá</t>
  </si>
  <si>
    <t>Đổ nền đường KDC Cồn Đầm</t>
  </si>
  <si>
    <t>Hỗ trợ xây mới NVH thôn Lâm Lý</t>
  </si>
  <si>
    <t>Hỗ trợ xây mới NVH thôn Khuông Phò</t>
  </si>
  <si>
    <t>3.4</t>
  </si>
  <si>
    <t>- Sữa chữa các cầu, cống trên địa bàn xã</t>
  </si>
  <si>
    <t>DỰ TOÁN CHI NGÂN SÁCH NĂM 2021</t>
  </si>
  <si>
    <t>- Thăm hỏi, viếng các gia đình chính sách</t>
  </si>
  <si>
    <t>8.1</t>
  </si>
  <si>
    <t>8.2</t>
  </si>
  <si>
    <t>8.3</t>
  </si>
  <si>
    <t>8.4</t>
  </si>
  <si>
    <t>8.4.1</t>
  </si>
  <si>
    <t>8.4.2</t>
  </si>
  <si>
    <t>8.5</t>
  </si>
  <si>
    <t>8.6</t>
  </si>
  <si>
    <t>8.8</t>
  </si>
  <si>
    <t>8.9</t>
  </si>
  <si>
    <t>8.10</t>
  </si>
  <si>
    <t>Chi hỗ trợ hoạt động các tổ chức chính trị thôn (2trđ/tổ chức/năm)</t>
  </si>
  <si>
    <t>- Chi tiền điện sinh hoạt</t>
  </si>
  <si>
    <t>- Chi tiền điện thoại, Internet</t>
  </si>
  <si>
    <t>- Chi tiền nước sinh hoạt</t>
  </si>
  <si>
    <t>- Chi tiền sữa chữa tin học</t>
  </si>
  <si>
    <t>- Chi tiền photo tài liệu</t>
  </si>
  <si>
    <t>- Chi tiền đặt báo</t>
  </si>
  <si>
    <t>- Chi tiền mua văn phòng phẩm</t>
  </si>
  <si>
    <t>- Chi tiền tham dự các ngày lễ, nhánh, tổ NTTS....</t>
  </si>
  <si>
    <t>- Chi hỗ trợ các ngày lễ, Tết cho CB, CC cơ quan xã</t>
  </si>
  <si>
    <t>- Chi khen thưởng</t>
  </si>
  <si>
    <t>- Chi hoạt động các Hội đặc thù</t>
  </si>
  <si>
    <t>xem lại chi tiết</t>
  </si>
  <si>
    <t>- Chi các khoản khác</t>
  </si>
  <si>
    <t>Kinh phí NSH hưởng ( 70% tăng thu)</t>
  </si>
  <si>
    <t>Kinh phí NSX hưởng ( 30% tăng thu)</t>
  </si>
  <si>
    <t>- Chi hỗ trợ PC bảo vệ, BHYT, BHXH</t>
  </si>
  <si>
    <t>+Phụ cấp người hoạt động không chuyên trách xã, thôn</t>
  </si>
  <si>
    <t>- Chi hoạt động tuyên truyền pháp luật, mua biểu mẫu tư pháp</t>
  </si>
  <si>
    <t>- Chi thăm viếng theo quy chế chi tiêu nội bộ</t>
  </si>
  <si>
    <t>Chi hỗ trợ Quốc phòng - An ninh</t>
  </si>
  <si>
    <t>Đại hội Hội LHPN xã Quảng Phước</t>
  </si>
  <si>
    <t>Bầu cử Đại biểu HĐND xã nhiệm kỳ 2021-2025</t>
  </si>
  <si>
    <t>Đại hội Hội Chữ thập đỏ xã</t>
  </si>
  <si>
    <t>8.11</t>
  </si>
  <si>
    <t>+ Chi hoạt động TX ( kể cả huấn luyện, khám tuyển NVQS)</t>
  </si>
  <si>
    <t>- Chi TDTT tại huyện ( kể cả ĐH TDTT)</t>
  </si>
  <si>
    <t>- Chi hoạt động công tác Đảng</t>
  </si>
  <si>
    <t>Chi hoạt động công vụ Đảng, QLNN, đoàn thể</t>
  </si>
  <si>
    <t>1 mục được hay k</t>
  </si>
  <si>
    <t>+ Chi phụ cấp khác</t>
  </si>
  <si>
    <t>- Chi phục vụ công tác thiên tai, bảo lụt</t>
  </si>
  <si>
    <t>- Chi các cuộc hội nghị, tổng kết</t>
  </si>
  <si>
    <t>- Chi phục vụ công tác lấy ý kiến sự hài lòng của người dân về NTM</t>
  </si>
  <si>
    <t>8.12</t>
  </si>
  <si>
    <t>- Chi mua thiết bị tin học phục vụ bộ phận tiếp nhận và trả kết quả một cửa</t>
  </si>
  <si>
    <t>8.13</t>
  </si>
  <si>
    <t>8.14</t>
  </si>
  <si>
    <t>8.15</t>
  </si>
  <si>
    <t>- Chi TDTT tại huyện, xã ( kể cả ĐH TDTT)</t>
  </si>
  <si>
    <t>DT huyện</t>
  </si>
  <si>
    <t>THU xã</t>
  </si>
  <si>
    <t>Chi hoạt động của Đảng, HĐND + UBND</t>
  </si>
  <si>
    <t>8.16</t>
  </si>
  <si>
    <t>+ Chi hoạt động TX ( khám tuyển NVQS)</t>
  </si>
  <si>
    <t>Thu quỹ đất công ích và HLCS</t>
  </si>
  <si>
    <t>Đổ nền đường KDC mới phía tây đình làng Mai Dương</t>
  </si>
  <si>
    <t>Đổ nền đường KDC mới xóm 5, Thủ Lễ 2</t>
  </si>
  <si>
    <t>San nền phía trước Trường TH số 1 Quảng Phước</t>
  </si>
  <si>
    <t>Cải tạo, nâng cấp sân bóng xã Quảng Phước</t>
  </si>
  <si>
    <t>Khu quy hoạch chỉnh trang hai bên bờ sông Sịa ( đoạn từ cầu Đan Điền đến cầu Bộ Phi)</t>
  </si>
  <si>
    <t>Trụ sở làm việc Công an xã</t>
  </si>
  <si>
    <t>Hỗ trợ xi măng để xây dựng mương thoát nước, đường GTNT</t>
  </si>
  <si>
    <t>Sữa chữa, cải tạo phần sân vườn và sơn quyét hàng rào nhà bia ghi danh</t>
  </si>
  <si>
    <t>Hỗ trợ xây dựng NVH thôn Khuông Phò</t>
  </si>
  <si>
    <t>Kinh phí lập quy hoạch xây dựng xã giai đoạn 2021-2030 và định hướng đến năm 2050</t>
  </si>
  <si>
    <t>3.5</t>
  </si>
  <si>
    <t>3.6</t>
  </si>
  <si>
    <t>3.7</t>
  </si>
  <si>
    <t>Đổ nền đường KDC mới xóm 15 từ nhà Ô. Thành - Ô. Hùng</t>
  </si>
  <si>
    <t>DTBD đường GTNT do xã quản lý</t>
  </si>
  <si>
    <t>Mua sắm bàn ghế NVH xã + Camera giám sát</t>
  </si>
  <si>
    <t>3.8</t>
  </si>
  <si>
    <t>3.9</t>
  </si>
  <si>
    <t>3.10</t>
  </si>
  <si>
    <t>Cải tạo, sữa chữa Nhà vệ sinh Chợ Quảng Phước</t>
  </si>
  <si>
    <t>Đổ nền đường KDC mới Cửa Rào Nam đến Dự án 195, thôn Thủ Lễ 2</t>
  </si>
  <si>
    <t>Chương trình nhà vệ sinh trường học giai đoạn 2020 – 2021</t>
  </si>
  <si>
    <t>2.2</t>
  </si>
  <si>
    <t>+ Chi hoạt động TX</t>
  </si>
  <si>
    <t xml:space="preserve">Hội nghị QP-AN </t>
  </si>
  <si>
    <t>+ Phụ cấp người hoạt động không chuyên trách</t>
  </si>
  <si>
    <t>Chi chuyển nguồn sang năm sau</t>
  </si>
  <si>
    <t>8.17</t>
  </si>
  <si>
    <t>8.18</t>
  </si>
  <si>
    <t>8.19</t>
  </si>
  <si>
    <t>8.20</t>
  </si>
  <si>
    <t>Chi công tác hòa giải cấp cơ sở</t>
  </si>
  <si>
    <t>- Chi sự nghiệp văn hóa thông tin ( Bao gồm: Cuộc vận động "toàn dân đoàn kết NTM văn minh" và "toàn dân XD- ĐSVH khu dân cư, hỗ trợ làng VH, các ngày lễ lớn…)</t>
  </si>
  <si>
    <t>8.21</t>
  </si>
  <si>
    <t>8.22</t>
  </si>
  <si>
    <t>Kinh phí lễ hội " Sóng nước Tam Giang"</t>
  </si>
  <si>
    <t xml:space="preserve">Kinh phí bầu Trưởng thôn </t>
  </si>
  <si>
    <t>Kinh phí ĐH các Chi bộ</t>
  </si>
  <si>
    <t>Đại Hội Hội Cựu chiến binh xã</t>
  </si>
  <si>
    <t>Đại Hội Đoàn TNCSHCM xã</t>
  </si>
  <si>
    <t>Phòng chống thiên tai, dịch bệnh</t>
  </si>
  <si>
    <t>Tuyên truyền pháp luật và mua biểu mẫu tư pháp</t>
  </si>
  <si>
    <r>
      <t xml:space="preserve">Hỗ trợ TNV tham gia HMNĐ </t>
    </r>
    <r>
      <rPr>
        <sz val="10"/>
        <rFont val="Times New Roman"/>
        <family val="1"/>
      </rPr>
      <t>( Bao gồm: Hoạt động TX: 1,5trđ)</t>
    </r>
  </si>
  <si>
    <t>Hoạt động tổ bảo vệ nguồn lợi thủy sản</t>
  </si>
  <si>
    <t>Kinh phí hoạt động TX của CB luân chuyển</t>
  </si>
  <si>
    <t>Mua sắm, sữa chữa tài sản, CCDC của cơ quan</t>
  </si>
  <si>
    <t>Chi hoạt động giám sát, phản biện xã hội theo QĐ 217,218 ( 1trđ/ĐT)</t>
  </si>
  <si>
    <t>Dự toán giao đầu năm</t>
  </si>
  <si>
    <t>ĐC tăng dự toán</t>
  </si>
  <si>
    <t>DT sau khi điều chỉnh và trừ TKC</t>
  </si>
  <si>
    <t>2.3</t>
  </si>
  <si>
    <t>Nâng cấp Đường Thạch Bàn - Thủ Môi</t>
  </si>
  <si>
    <t>2.4</t>
  </si>
  <si>
    <t>Bể bơi và nhà vòm bảo vệ để dạy bơi phòng chống đuối nước cho học sinh tại trường TH số 1 Quảng Phước</t>
  </si>
  <si>
    <t>Cải tạo nền sân chợ xã Quảng Phước</t>
  </si>
  <si>
    <t>3.11</t>
  </si>
  <si>
    <t>3.12</t>
  </si>
  <si>
    <t>3.13</t>
  </si>
  <si>
    <t>Sữa chữa Cầu Cồn Văn</t>
  </si>
  <si>
    <t>Sữa chữa kênh Dương Bột TB Đông Phước 2</t>
  </si>
  <si>
    <t>Sữa chữa Kênh Đạt Giữa</t>
  </si>
  <si>
    <t>Xây mới đường dây trung thế và trạm biến áp 160kVA điểm dân cư Cửa rào nam và Hói Đen, xã Quảng Phước</t>
  </si>
  <si>
    <t>San lấp mặt bằng phía sau khối nhà làm việc Đảng, Mặt trận, các Đoàn thể và các hạng mục khác</t>
  </si>
  <si>
    <t>2.5</t>
  </si>
  <si>
    <t>2.6</t>
  </si>
  <si>
    <t>2.7</t>
  </si>
  <si>
    <t>+ Chi phục vụ công tác huấn luyện</t>
  </si>
  <si>
    <t>Chi tiết kiệm 10%</t>
  </si>
  <si>
    <t>Đối ứng thực hiện các dự án thuộc Chương trình MTQG giai đoạn 2022-2025 ( Các dự án Trường học, kênh mương...)</t>
  </si>
  <si>
    <t>ĐC dự toán</t>
  </si>
  <si>
    <t>Thu chuyển nguồn ngân sách</t>
  </si>
  <si>
    <t>Chi các khoản chuyển nguồn năm trước sang</t>
  </si>
  <si>
    <t>* Tổng thu</t>
  </si>
  <si>
    <t>Chi các khoản chuyển nguồn sang</t>
  </si>
  <si>
    <t>Kinh phí lập quy hoạch, cắm mộc phân lô</t>
  </si>
  <si>
    <t>Nộp tiền bảo vệ và phát triển đất trồng lúa</t>
  </si>
  <si>
    <t>Chi bổ sung có mục tiêu</t>
  </si>
  <si>
    <t>Kinh phí trang thiết bị phương tiện phòng cháy, chữa cháy và cứu nạn, cứu hộ cho lực lượng dân phòng</t>
  </si>
  <si>
    <t>Kinh phí mua kít test phục vụ dịch bệnh Covid-19</t>
  </si>
  <si>
    <t xml:space="preserve"> Kinh phí thực hiện chính sách hỗ trợ người có công với cách mạng năm 2022</t>
  </si>
  <si>
    <t>Kinh phí hỗ trợ địa phương SX lúa năm 2022</t>
  </si>
  <si>
    <t>Kinh phí hỗ trợ người lao động bị ảnh hưởng dịch bệnh Covid-19</t>
  </si>
  <si>
    <t>Kinh phí phục vụ huyện đạt chuẩn NTM</t>
  </si>
  <si>
    <t xml:space="preserve"> Kinh phí hỗ trợ tổ y tế lưu động</t>
  </si>
  <si>
    <t>Kinh phí sự nghiệp môi trường và NTTS</t>
  </si>
  <si>
    <t>Kinh phí thực hiện CT MTQG. Xây dựng NVH thôn Thủ Lễ 3</t>
  </si>
  <si>
    <t>Kiên cố hoá kênh mương HTX Đông Phước và HTX Mai Phước</t>
  </si>
  <si>
    <t xml:space="preserve">Kinh phí mua sắm trang thiết bị </t>
  </si>
  <si>
    <t>Kinh phí thực hiện Quy hoạch xây dựng xã</t>
  </si>
  <si>
    <t>QUYẾT TOÁN CHI NGÂN SÁCH XÃ NĂM 2022</t>
  </si>
  <si>
    <t>QUYẾT TOÁN THU NGÂN SÁCH XÃ NĂM 2022</t>
  </si>
  <si>
    <t>Số liệu quyết toán</t>
  </si>
  <si>
    <t>Thuế tiêu thụ đặc biệt</t>
  </si>
  <si>
    <t>Tiền nộp chậm các khoản khác</t>
  </si>
  <si>
    <t xml:space="preserve">Kinh phí chi trả chính sách trợ giúp xã hội đối với đối tượng bảo trợ xã hội </t>
  </si>
  <si>
    <t>Di dời trụ điện tại trường THCS Ngô Thế Lân</t>
  </si>
  <si>
    <t>DTBD tuyến đường thôn Hà Đồ - Phước Lập</t>
  </si>
  <si>
    <t>+Phụ cấp cán bộ kiểm soát thủ tục hành chính</t>
  </si>
  <si>
    <t>Chi nộp trả NS huyện</t>
  </si>
  <si>
    <t>Kinh phí thực hiện Đề án 06</t>
  </si>
  <si>
    <t>Kinh phí tham dự các tổ NTTS</t>
  </si>
  <si>
    <t>Kinh phí khắc phục sạt lỡ Đê I Cô</t>
  </si>
  <si>
    <t>Kinh phí hoạt động AN-QP</t>
  </si>
  <si>
    <t xml:space="preserve">Hỗ trợ HTX Mai Phước tiêu úng </t>
  </si>
  <si>
    <t xml:space="preserve">Hỗ trợ HTX Đông Phước tiêu úng </t>
  </si>
  <si>
    <t>- Kinh phí 70% tăng thu để CCTL</t>
  </si>
  <si>
    <t>- Kinh phí 30% tăng thu xã hưởng</t>
  </si>
  <si>
    <t>- Tiền sử dụng đất</t>
  </si>
  <si>
    <t>- Dự phòng</t>
  </si>
  <si>
    <t>- Kinh phí tiết kiệm chi 10%</t>
  </si>
  <si>
    <t>- Kinh phí Bổ sung có mục tiêu</t>
  </si>
  <si>
    <t>- Kinh phí tiếp tục thực hiện các nhiệm vụ chi năm sau</t>
  </si>
  <si>
    <t>% so với KH</t>
  </si>
  <si>
    <t>( Kèm theo Báo cáo số: 81/BC-UBND ngày  19/6/2023 của UBND xã Quảng Phước)</t>
  </si>
</sst>
</file>

<file path=xl/styles.xml><?xml version="1.0" encoding="utf-8"?>
<styleSheet xmlns="http://schemas.openxmlformats.org/spreadsheetml/2006/main">
  <numFmts count="28">
    <numFmt numFmtId="41" formatCode="_(* #,##0_);_(* \(#,##0\);_(* &quot;-&quot;_);_(@_)"/>
    <numFmt numFmtId="43" formatCode="_(* #,##0.00_);_(* \(#,##0.00\);_(* &quot;-&quot;??_);_(@_)"/>
    <numFmt numFmtId="164" formatCode="&quot;$&quot;#,##0.00;[Red]\-&quot;$&quot;#,##0.00"/>
    <numFmt numFmtId="165" formatCode="_-&quot;$&quot;* #,##0_-;\-&quot;$&quot;* #,##0_-;_-&quot;$&quot;* &quot;-&quot;_-;_-@_-"/>
    <numFmt numFmtId="166" formatCode="_-* #,##0_-;\-* #,##0_-;_-* &quot;-&quot;_-;_-@_-"/>
    <numFmt numFmtId="167" formatCode="_-&quot;$&quot;* #,##0.00_-;\-&quot;$&quot;* #,##0.00_-;_-&quot;$&quot;* &quot;-&quot;??_-;_-@_-"/>
    <numFmt numFmtId="168" formatCode="_-* #,##0.00_-;\-* #,##0.00_-;_-* &quot;-&quot;??_-;_-@_-"/>
    <numFmt numFmtId="169" formatCode="#,##0\ &quot;DM&quot;;\-#,##0\ &quot;DM&quot;"/>
    <numFmt numFmtId="170" formatCode="&quot;Dong&quot;#,##0.00_);[Red]\(&quot;Dong&quot;#,##0.00\)"/>
    <numFmt numFmtId="171" formatCode="_(&quot;Dong&quot;* #,##0_);_(&quot;Dong&quot;* \(#,##0\);_(&quot;Dong&quot;* &quot;-&quot;_);_(@_)"/>
    <numFmt numFmtId="172" formatCode="_ * #,##0_ ;_ * \-#,##0_ ;_ * &quot;-&quot;_ ;_ @_ "/>
    <numFmt numFmtId="173" formatCode="_(\$* #,##0.00_);_(\$* \(#,##0.00\);_(\$* &quot;-&quot;??_);_(@_)"/>
    <numFmt numFmtId="174" formatCode="_-* #,##0\ _F_-;\-* #,##0\ _F_-;_-* &quot;-&quot;\ _F_-;_-@_-"/>
    <numFmt numFmtId="175" formatCode="#,##0&quot; F&quot;;\-#,##0&quot; F&quot;"/>
    <numFmt numFmtId="176" formatCode="_-* #,##0.0\ _F_-;\-* #,##0.0\ _F_-;_-* &quot;-&quot;??\ _F_-;_-@_-"/>
    <numFmt numFmtId="177" formatCode="#,###,###.00"/>
    <numFmt numFmtId="178" formatCode="#,###,###,###.00"/>
    <numFmt numFmtId="179" formatCode="_(&quot;$&quot;* #,##0.00000000_);_(&quot;$&quot;* \(#,##0.00000000\);_(&quot;$&quot;* &quot;-&quot;??_);_(@_)"/>
    <numFmt numFmtId="180" formatCode="_ * #,##0.00\ &quot;kr.&quot;_ ;_ * #,##0.00\ &quot;kr.&quot;_ ;_ * &quot;-&quot;??\ &quot;kr.&quot;_ ;_ @_ "/>
    <numFmt numFmtId="181" formatCode="&quot;\&quot;#,##0.00;[Red]&quot;\&quot;\-#,##0.00"/>
    <numFmt numFmtId="182" formatCode="&quot;\&quot;#,##0;[Red]&quot;\&quot;\-#,##0"/>
    <numFmt numFmtId="183" formatCode="#,##0.0"/>
    <numFmt numFmtId="184" formatCode="#,###"/>
    <numFmt numFmtId="185" formatCode="_(* #,##0.0_);_(* \(#,##0.0\);_(* &quot;-&quot;??_);_(@_)"/>
    <numFmt numFmtId="186" formatCode="_(* #,##0_);_(* \(#,##0\);_(* &quot;-&quot;??_);_(@_)"/>
    <numFmt numFmtId="187" formatCode="_(* #.##0.00_);_(* \(#.##0.00\);_(* &quot;-&quot;??_);_(@_)"/>
    <numFmt numFmtId="188" formatCode="_-* #,##0.0_-;\-* #,##0.0_-;_-* &quot;-&quot;?_-;_-@_-"/>
    <numFmt numFmtId="189" formatCode="#,##0.000"/>
  </numFmts>
  <fonts count="82">
    <font>
      <sz val="10"/>
      <name val="Arial"/>
    </font>
    <font>
      <sz val="10"/>
      <name val="Arial"/>
      <family val="2"/>
      <charset val="163"/>
    </font>
    <font>
      <sz val="10"/>
      <name val="Arial"/>
      <family val="2"/>
    </font>
    <font>
      <sz val="14"/>
      <name val="??"/>
      <family val="3"/>
      <charset val="129"/>
    </font>
    <font>
      <sz val="11"/>
      <name val="??"/>
      <family val="3"/>
    </font>
    <font>
      <sz val="12"/>
      <name val="????"/>
      <charset val="136"/>
    </font>
    <font>
      <sz val="11"/>
      <name val="??"/>
      <family val="3"/>
      <charset val="129"/>
    </font>
    <font>
      <sz val="10"/>
      <name val="???"/>
      <family val="3"/>
      <charset val="129"/>
    </font>
    <font>
      <b/>
      <u/>
      <sz val="14"/>
      <color indexed="8"/>
      <name val=".VnBook-AntiquaH"/>
      <family val="2"/>
    </font>
    <font>
      <i/>
      <sz val="12"/>
      <color indexed="8"/>
      <name val=".VnBook-AntiquaH"/>
      <family val="2"/>
    </font>
    <font>
      <sz val="11"/>
      <color indexed="8"/>
      <name val="Calibri"/>
      <family val="2"/>
    </font>
    <font>
      <b/>
      <sz val="12"/>
      <color indexed="8"/>
      <name val=".VnBook-Antiqua"/>
      <family val="2"/>
    </font>
    <font>
      <i/>
      <sz val="12"/>
      <color indexed="8"/>
      <name val=".VnBook-Antiqua"/>
      <family val="2"/>
    </font>
    <font>
      <sz val="11"/>
      <color indexed="9"/>
      <name val="Calibri"/>
      <family val="2"/>
    </font>
    <font>
      <sz val="11"/>
      <name val="VNtimes new roman"/>
      <family val="2"/>
    </font>
    <font>
      <sz val="12"/>
      <name val="¹UAAA¼"/>
      <family val="3"/>
      <charset val="129"/>
    </font>
    <font>
      <sz val="12"/>
      <name val="±¼¸²Ã¼"/>
      <family val="3"/>
      <charset val="129"/>
    </font>
    <font>
      <sz val="12"/>
      <name val="µ¸¿òÃ¼"/>
      <family val="3"/>
      <charset val="129"/>
    </font>
    <font>
      <sz val="12"/>
      <name val=".VnTime"/>
      <family val="2"/>
    </font>
    <font>
      <sz val="11"/>
      <color indexed="20"/>
      <name val="Calibri"/>
      <family val="2"/>
    </font>
    <font>
      <b/>
      <sz val="11"/>
      <color indexed="52"/>
      <name val="Calibri"/>
      <family val="2"/>
    </font>
    <font>
      <b/>
      <sz val="11"/>
      <color indexed="9"/>
      <name val="Calibri"/>
      <family val="2"/>
    </font>
    <font>
      <sz val="14"/>
      <name val="VNtimes new roman"/>
      <family val="2"/>
    </font>
    <font>
      <sz val="11"/>
      <name val=".VnArial"/>
      <family val="2"/>
    </font>
    <font>
      <i/>
      <sz val="11"/>
      <color indexed="23"/>
      <name val="Calibri"/>
      <family val="2"/>
    </font>
    <font>
      <sz val="11"/>
      <color indexed="17"/>
      <name val="Calibri"/>
      <family val="2"/>
    </font>
    <font>
      <b/>
      <sz val="12"/>
      <name val="Arial"/>
      <family val="2"/>
    </font>
    <font>
      <b/>
      <sz val="18"/>
      <name val="Arial"/>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4"/>
      <name val="VNtimes new roman"/>
      <family val="2"/>
    </font>
    <font>
      <sz val="11"/>
      <name val="–¾’©"/>
      <family val="1"/>
      <charset val="128"/>
    </font>
    <font>
      <b/>
      <sz val="11"/>
      <color indexed="63"/>
      <name val="Calibri"/>
      <family val="2"/>
    </font>
    <font>
      <b/>
      <sz val="18"/>
      <color indexed="56"/>
      <name val="Cambria"/>
      <family val="2"/>
    </font>
    <font>
      <sz val="11"/>
      <color indexed="10"/>
      <name val="Calibri"/>
      <family val="2"/>
    </font>
    <font>
      <sz val="14"/>
      <name val="뼻뮝"/>
      <family val="3"/>
      <charset val="129"/>
    </font>
    <font>
      <sz val="12"/>
      <name val="바탕체"/>
      <family val="3"/>
    </font>
    <font>
      <sz val="12"/>
      <name val="뼻뮝"/>
      <family val="1"/>
      <charset val="129"/>
    </font>
    <font>
      <sz val="12"/>
      <name val="바탕체"/>
      <family val="1"/>
      <charset val="129"/>
    </font>
    <font>
      <sz val="10"/>
      <name val="굴림체"/>
      <family val="3"/>
      <charset val="129"/>
    </font>
    <font>
      <sz val="12"/>
      <name val="新細明體"/>
      <charset val="136"/>
    </font>
    <font>
      <sz val="12"/>
      <name val="Times New Roman"/>
      <family val="1"/>
      <charset val="163"/>
    </font>
    <font>
      <b/>
      <sz val="14"/>
      <name val="Times New Roman"/>
      <family val="1"/>
      <charset val="163"/>
    </font>
    <font>
      <b/>
      <sz val="12"/>
      <name val="Times New Roman"/>
      <family val="1"/>
      <charset val="163"/>
    </font>
    <font>
      <b/>
      <sz val="12"/>
      <name val="Times New Roman"/>
      <family val="1"/>
    </font>
    <font>
      <sz val="12"/>
      <name val="Times New Roman"/>
      <family val="1"/>
    </font>
    <font>
      <i/>
      <sz val="12"/>
      <name val="Times New Roman"/>
      <family val="1"/>
      <charset val="163"/>
    </font>
    <font>
      <i/>
      <sz val="12"/>
      <name val="Times New Roman"/>
      <family val="1"/>
    </font>
    <font>
      <sz val="11"/>
      <name val="Times New Roman"/>
      <family val="1"/>
    </font>
    <font>
      <b/>
      <sz val="11"/>
      <name val="Times New Roman"/>
      <family val="1"/>
    </font>
    <font>
      <i/>
      <sz val="11"/>
      <name val="Times New Roman"/>
      <family val="1"/>
    </font>
    <font>
      <i/>
      <sz val="10"/>
      <name val="Times New Roman"/>
      <family val="1"/>
    </font>
    <font>
      <sz val="10.5"/>
      <name val="Times New Roman"/>
      <family val="1"/>
    </font>
    <font>
      <b/>
      <sz val="10.5"/>
      <name val="Times New Roman"/>
      <family val="1"/>
    </font>
    <font>
      <sz val="8"/>
      <name val="Times New Roman"/>
      <family val="1"/>
    </font>
    <font>
      <sz val="10"/>
      <name val="Times New Roman"/>
      <family val="1"/>
    </font>
    <font>
      <sz val="8"/>
      <name val="Arial"/>
      <family val="2"/>
    </font>
    <font>
      <sz val="12"/>
      <name val="Arial"/>
      <family val="2"/>
    </font>
    <font>
      <i/>
      <sz val="12"/>
      <name val="Arial"/>
      <family val="2"/>
    </font>
    <font>
      <sz val="12"/>
      <name val="VNtimes new roman"/>
      <family val="2"/>
    </font>
    <font>
      <b/>
      <sz val="14"/>
      <name val="Arial"/>
      <family val="2"/>
    </font>
    <font>
      <i/>
      <sz val="11"/>
      <name val="Times New Roman"/>
      <family val="1"/>
      <charset val="163"/>
    </font>
    <font>
      <i/>
      <sz val="11"/>
      <name val="Arial"/>
      <family val="2"/>
    </font>
    <font>
      <sz val="11"/>
      <name val="Times New Roman"/>
      <family val="1"/>
      <charset val="163"/>
    </font>
    <font>
      <sz val="10"/>
      <name val="VNtimes New Roman"/>
      <family val="2"/>
    </font>
    <font>
      <i/>
      <sz val="9"/>
      <name val="Times New Roman"/>
      <family val="1"/>
    </font>
    <font>
      <b/>
      <sz val="10"/>
      <name val="Times New Roman"/>
      <family val="1"/>
    </font>
    <font>
      <b/>
      <sz val="9"/>
      <name val="Times New Roman"/>
      <family val="1"/>
    </font>
    <font>
      <b/>
      <sz val="14"/>
      <name val="Times New Roman"/>
      <family val="1"/>
    </font>
    <font>
      <sz val="10"/>
      <name val="Times New Roman"/>
      <family val="1"/>
      <charset val="163"/>
    </font>
    <font>
      <i/>
      <sz val="10.5"/>
      <name val="Times New Roman"/>
      <family val="1"/>
    </font>
    <font>
      <i/>
      <sz val="8"/>
      <name val="Arial"/>
      <family val="2"/>
    </font>
    <font>
      <sz val="12"/>
      <color rgb="FFFF0000"/>
      <name val="Times New Roman"/>
      <family val="1"/>
      <charset val="163"/>
    </font>
    <font>
      <b/>
      <sz val="12"/>
      <color rgb="FFFF0000"/>
      <name val="Times New Roman"/>
      <family val="1"/>
    </font>
    <font>
      <sz val="12"/>
      <color rgb="FFFF0000"/>
      <name val="Times New Roman"/>
      <family val="1"/>
    </font>
    <font>
      <i/>
      <sz val="12"/>
      <color rgb="FFFF0000"/>
      <name val="Times New Roman"/>
      <family val="1"/>
    </font>
    <font>
      <b/>
      <sz val="11"/>
      <color rgb="FFFF0000"/>
      <name val="Times New Roman"/>
      <family val="1"/>
    </font>
    <font>
      <b/>
      <i/>
      <sz val="12"/>
      <name val="Times New Roman"/>
      <family val="1"/>
    </font>
    <font>
      <b/>
      <i/>
      <sz val="11"/>
      <name val="Times New Roman"/>
      <family val="1"/>
    </font>
    <font>
      <sz val="10"/>
      <name val="Arial"/>
      <family val="2"/>
    </font>
  </fonts>
  <fills count="26">
    <fill>
      <patternFill patternType="none"/>
    </fill>
    <fill>
      <patternFill patternType="gray125"/>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s>
  <borders count="2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s>
  <cellStyleXfs count="104">
    <xf numFmtId="0" fontId="0" fillId="0" borderId="0"/>
    <xf numFmtId="0" fontId="2" fillId="0" borderId="0"/>
    <xf numFmtId="0" fontId="3" fillId="0" borderId="0" applyFont="0" applyFill="0" applyBorder="0" applyAlignment="0" applyProtection="0"/>
    <xf numFmtId="169" fontId="4" fillId="0" borderId="0" applyFont="0" applyFill="0" applyBorder="0" applyAlignment="0" applyProtection="0"/>
    <xf numFmtId="40" fontId="3" fillId="0" borderId="0" applyFont="0" applyFill="0" applyBorder="0" applyAlignment="0" applyProtection="0"/>
    <xf numFmtId="38" fontId="3" fillId="0" borderId="0" applyFont="0" applyFill="0" applyBorder="0" applyAlignment="0" applyProtection="0"/>
    <xf numFmtId="166" fontId="5" fillId="0" borderId="0" applyFont="0" applyFill="0" applyBorder="0" applyAlignment="0" applyProtection="0"/>
    <xf numFmtId="9" fontId="6" fillId="0" borderId="0" applyFont="0" applyFill="0" applyBorder="0" applyAlignment="0" applyProtection="0"/>
    <xf numFmtId="0" fontId="7" fillId="0" borderId="0"/>
    <xf numFmtId="0" fontId="8" fillId="2" borderId="0"/>
    <xf numFmtId="0" fontId="9" fillId="2" borderId="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1" fillId="2" borderId="0"/>
    <xf numFmtId="0" fontId="12" fillId="0" borderId="0">
      <alignment wrapText="1"/>
    </xf>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12" borderId="0" applyNumberFormat="0" applyBorder="0" applyAlignment="0" applyProtection="0"/>
    <xf numFmtId="0" fontId="13" fillId="13"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20" borderId="0" applyNumberFormat="0" applyBorder="0" applyAlignment="0" applyProtection="0"/>
    <xf numFmtId="170" fontId="14" fillId="0" borderId="0" applyFont="0" applyFill="0" applyBorder="0" applyAlignment="0" applyProtection="0"/>
    <xf numFmtId="0" fontId="15" fillId="0" borderId="0" applyFont="0" applyFill="0" applyBorder="0" applyAlignment="0" applyProtection="0"/>
    <xf numFmtId="170" fontId="14" fillId="0" borderId="0" applyFont="0" applyFill="0" applyBorder="0" applyAlignment="0" applyProtection="0"/>
    <xf numFmtId="171" fontId="14" fillId="0" borderId="0" applyFont="0" applyFill="0" applyBorder="0" applyAlignment="0" applyProtection="0"/>
    <xf numFmtId="0" fontId="15" fillId="0" borderId="0" applyFont="0" applyFill="0" applyBorder="0" applyAlignment="0" applyProtection="0"/>
    <xf numFmtId="171" fontId="14" fillId="0" borderId="0" applyFont="0" applyFill="0" applyBorder="0" applyAlignment="0" applyProtection="0"/>
    <xf numFmtId="172" fontId="16" fillId="0" borderId="0" applyFont="0" applyFill="0" applyBorder="0" applyAlignment="0" applyProtection="0"/>
    <xf numFmtId="0" fontId="15" fillId="0" borderId="0" applyFont="0" applyFill="0" applyBorder="0" applyAlignment="0" applyProtection="0"/>
    <xf numFmtId="172" fontId="17" fillId="0" borderId="0" applyFont="0" applyFill="0" applyBorder="0" applyAlignment="0" applyProtection="0"/>
    <xf numFmtId="173" fontId="18" fillId="0" borderId="0" applyFont="0" applyFill="0" applyBorder="0" applyAlignment="0" applyProtection="0"/>
    <xf numFmtId="0" fontId="15" fillId="0" borderId="0" applyFont="0" applyFill="0" applyBorder="0" applyAlignment="0" applyProtection="0"/>
    <xf numFmtId="173" fontId="18" fillId="0" borderId="0" applyFont="0" applyFill="0" applyBorder="0" applyAlignment="0" applyProtection="0"/>
    <xf numFmtId="0" fontId="19" fillId="4" borderId="0" applyNumberFormat="0" applyBorder="0" applyAlignment="0" applyProtection="0"/>
    <xf numFmtId="0" fontId="15" fillId="0" borderId="0"/>
    <xf numFmtId="0" fontId="17" fillId="0" borderId="0"/>
    <xf numFmtId="0" fontId="15" fillId="0" borderId="0"/>
    <xf numFmtId="0" fontId="17" fillId="0" borderId="0"/>
    <xf numFmtId="0" fontId="20" fillId="21" borderId="1" applyNumberFormat="0" applyAlignment="0" applyProtection="0"/>
    <xf numFmtId="43" fontId="1" fillId="0" borderId="0" applyFont="0" applyFill="0" applyBorder="0" applyAlignment="0" applyProtection="0"/>
    <xf numFmtId="3" fontId="2" fillId="0" borderId="0" applyFont="0" applyFill="0" applyBorder="0" applyAlignment="0" applyProtection="0"/>
    <xf numFmtId="164" fontId="23" fillId="0" borderId="0" applyFont="0" applyFill="0" applyBorder="0" applyAlignment="0" applyProtection="0"/>
    <xf numFmtId="0" fontId="21" fillId="22" borderId="2" applyNumberFormat="0" applyAlignment="0" applyProtection="0"/>
    <xf numFmtId="0" fontId="2" fillId="0" borderId="0" applyFont="0" applyFill="0" applyBorder="0" applyAlignment="0" applyProtection="0"/>
    <xf numFmtId="0" fontId="24" fillId="0" borderId="0" applyNumberFormat="0" applyFill="0" applyBorder="0" applyAlignment="0" applyProtection="0"/>
    <xf numFmtId="2" fontId="2" fillId="0" borderId="0" applyFont="0" applyFill="0" applyBorder="0" applyAlignment="0" applyProtection="0"/>
    <xf numFmtId="0" fontId="25" fillId="5" borderId="0" applyNumberFormat="0" applyBorder="0" applyAlignment="0" applyProtection="0"/>
    <xf numFmtId="0" fontId="26" fillId="0" borderId="3" applyNumberFormat="0" applyAlignment="0" applyProtection="0">
      <alignment horizontal="left" vertical="center"/>
    </xf>
    <xf numFmtId="0" fontId="26" fillId="0" borderId="4">
      <alignment horizontal="left" vertical="center"/>
    </xf>
    <xf numFmtId="0" fontId="27" fillId="0" borderId="0" applyNumberFormat="0" applyFill="0" applyBorder="0" applyAlignment="0" applyProtection="0"/>
    <xf numFmtId="0" fontId="26" fillId="0" borderId="0" applyNumberFormat="0" applyFill="0" applyBorder="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8" borderId="1" applyNumberFormat="0" applyAlignment="0" applyProtection="0"/>
    <xf numFmtId="0" fontId="30" fillId="0" borderId="6" applyNumberFormat="0" applyFill="0" applyAlignment="0" applyProtection="0"/>
    <xf numFmtId="0" fontId="31" fillId="23" borderId="0" applyNumberFormat="0" applyBorder="0" applyAlignment="0" applyProtection="0"/>
    <xf numFmtId="175" fontId="14" fillId="0" borderId="0"/>
    <xf numFmtId="0" fontId="22" fillId="0" borderId="0"/>
    <xf numFmtId="0" fontId="22" fillId="0" borderId="0"/>
    <xf numFmtId="0" fontId="32" fillId="24" borderId="7" applyNumberFormat="0" applyFont="0" applyAlignment="0" applyProtection="0"/>
    <xf numFmtId="168" fontId="33" fillId="0" borderId="0" applyFont="0" applyFill="0" applyBorder="0" applyAlignment="0" applyProtection="0"/>
    <xf numFmtId="166" fontId="33" fillId="0" borderId="0" applyFont="0" applyFill="0" applyBorder="0" applyAlignment="0" applyProtection="0"/>
    <xf numFmtId="0" fontId="34" fillId="21" borderId="8" applyNumberFormat="0" applyAlignment="0" applyProtection="0"/>
    <xf numFmtId="176" fontId="18" fillId="0" borderId="9">
      <alignment horizontal="right" vertical="center"/>
    </xf>
    <xf numFmtId="0" fontId="35" fillId="0" borderId="0" applyNumberFormat="0" applyFill="0" applyBorder="0" applyAlignment="0" applyProtection="0"/>
    <xf numFmtId="0" fontId="2" fillId="0" borderId="10" applyNumberFormat="0" applyFont="0" applyFill="0" applyAlignment="0" applyProtection="0"/>
    <xf numFmtId="174" fontId="18" fillId="0" borderId="9">
      <alignment horizontal="center"/>
    </xf>
    <xf numFmtId="177" fontId="18" fillId="0" borderId="0"/>
    <xf numFmtId="178" fontId="18" fillId="0" borderId="11"/>
    <xf numFmtId="0" fontId="36" fillId="0" borderId="0" applyNumberFormat="0" applyFill="0" applyBorder="0" applyAlignment="0" applyProtection="0"/>
    <xf numFmtId="40" fontId="37" fillId="0" borderId="0" applyFont="0" applyFill="0" applyBorder="0" applyAlignment="0" applyProtection="0"/>
    <xf numFmtId="38"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9" fontId="38" fillId="0" borderId="0" applyFont="0" applyFill="0" applyBorder="0" applyAlignment="0" applyProtection="0"/>
    <xf numFmtId="0" fontId="39" fillId="0" borderId="0"/>
    <xf numFmtId="179" fontId="23" fillId="0" borderId="0" applyFont="0" applyFill="0" applyBorder="0" applyAlignment="0" applyProtection="0"/>
    <xf numFmtId="180" fontId="23" fillId="0" borderId="0" applyFont="0" applyFill="0" applyBorder="0" applyAlignment="0" applyProtection="0"/>
    <xf numFmtId="181" fontId="40" fillId="0" borderId="0" applyFont="0" applyFill="0" applyBorder="0" applyAlignment="0" applyProtection="0"/>
    <xf numFmtId="182" fontId="40" fillId="0" borderId="0" applyFont="0" applyFill="0" applyBorder="0" applyAlignment="0" applyProtection="0"/>
    <xf numFmtId="0" fontId="41" fillId="0" borderId="0"/>
    <xf numFmtId="0" fontId="42" fillId="0" borderId="0"/>
    <xf numFmtId="166" fontId="42" fillId="0" borderId="0" applyFont="0" applyFill="0" applyBorder="0" applyAlignment="0" applyProtection="0"/>
    <xf numFmtId="168" fontId="42" fillId="0" borderId="0" applyFont="0" applyFill="0" applyBorder="0" applyAlignment="0" applyProtection="0"/>
    <xf numFmtId="165" fontId="42" fillId="0" borderId="0" applyFont="0" applyFill="0" applyBorder="0" applyAlignment="0" applyProtection="0"/>
    <xf numFmtId="167" fontId="42" fillId="0" borderId="0" applyFont="0" applyFill="0" applyBorder="0" applyAlignment="0" applyProtection="0"/>
    <xf numFmtId="41" fontId="81" fillId="0" borderId="0" applyFont="0" applyFill="0" applyBorder="0" applyAlignment="0" applyProtection="0"/>
    <xf numFmtId="0" fontId="47" fillId="0" borderId="0"/>
  </cellStyleXfs>
  <cellXfs count="410">
    <xf numFmtId="0" fontId="0" fillId="0" borderId="0" xfId="0"/>
    <xf numFmtId="0" fontId="45" fillId="0" borderId="11" xfId="74" applyFont="1" applyBorder="1" applyAlignment="1">
      <alignment horizontal="center" vertical="center" wrapText="1"/>
    </xf>
    <xf numFmtId="3" fontId="45" fillId="0" borderId="11" xfId="74" applyNumberFormat="1" applyFont="1" applyBorder="1" applyAlignment="1">
      <alignment horizontal="center" vertical="center" wrapText="1"/>
    </xf>
    <xf numFmtId="0" fontId="43" fillId="0" borderId="12" xfId="74" applyFont="1" applyBorder="1" applyAlignment="1">
      <alignment horizontal="center" vertical="center" wrapText="1"/>
    </xf>
    <xf numFmtId="3" fontId="48" fillId="0" borderId="12" xfId="74" applyNumberFormat="1" applyFont="1" applyBorder="1" applyAlignment="1">
      <alignment horizontal="right" vertical="center" wrapText="1"/>
    </xf>
    <xf numFmtId="0" fontId="52" fillId="0" borderId="12" xfId="73" quotePrefix="1" applyFont="1" applyBorder="1" applyAlignment="1">
      <alignment horizontal="left" vertical="center" wrapText="1"/>
    </xf>
    <xf numFmtId="186" fontId="43" fillId="0" borderId="12" xfId="55" applyNumberFormat="1" applyFont="1" applyFill="1" applyBorder="1" applyAlignment="1">
      <alignment horizontal="right" vertical="center" wrapText="1"/>
    </xf>
    <xf numFmtId="0" fontId="59" fillId="0" borderId="0" xfId="0" applyFont="1" applyAlignment="1">
      <alignment wrapText="1"/>
    </xf>
    <xf numFmtId="0" fontId="62" fillId="0" borderId="0" xfId="0" applyFont="1" applyAlignment="1">
      <alignment wrapText="1"/>
    </xf>
    <xf numFmtId="0" fontId="43" fillId="0" borderId="0" xfId="74" applyFont="1" applyAlignment="1">
      <alignment horizontal="center" vertical="center" wrapText="1"/>
    </xf>
    <xf numFmtId="0" fontId="59" fillId="0" borderId="0" xfId="0" applyFont="1" applyAlignment="1">
      <alignment horizontal="center" wrapText="1"/>
    </xf>
    <xf numFmtId="3" fontId="59" fillId="0" borderId="0" xfId="0" applyNumberFormat="1" applyFont="1" applyAlignment="1">
      <alignment wrapText="1"/>
    </xf>
    <xf numFmtId="0" fontId="43" fillId="0" borderId="12" xfId="74" applyFont="1" applyBorder="1" applyAlignment="1">
      <alignment vertical="center" wrapText="1"/>
    </xf>
    <xf numFmtId="3" fontId="43" fillId="0" borderId="12" xfId="74" applyNumberFormat="1" applyFont="1" applyBorder="1" applyAlignment="1">
      <alignment vertical="center" wrapText="1"/>
    </xf>
    <xf numFmtId="0" fontId="48" fillId="0" borderId="12" xfId="74" applyFont="1" applyBorder="1" applyAlignment="1">
      <alignment horizontal="center" vertical="center" wrapText="1"/>
    </xf>
    <xf numFmtId="3" fontId="48" fillId="0" borderId="12" xfId="74" applyNumberFormat="1" applyFont="1" applyBorder="1" applyAlignment="1">
      <alignment vertical="center" wrapText="1"/>
    </xf>
    <xf numFmtId="0" fontId="60" fillId="0" borderId="0" xfId="0" applyFont="1" applyAlignment="1">
      <alignment wrapText="1"/>
    </xf>
    <xf numFmtId="0" fontId="45" fillId="0" borderId="12" xfId="74" applyFont="1" applyBorder="1" applyAlignment="1">
      <alignment vertical="center" wrapText="1"/>
    </xf>
    <xf numFmtId="3" fontId="45" fillId="0" borderId="12" xfId="74" applyNumberFormat="1" applyFont="1" applyBorder="1" applyAlignment="1">
      <alignment vertical="center" wrapText="1"/>
    </xf>
    <xf numFmtId="0" fontId="45" fillId="0" borderId="12" xfId="74" applyFont="1" applyBorder="1" applyAlignment="1">
      <alignment horizontal="center" vertical="center" wrapText="1"/>
    </xf>
    <xf numFmtId="0" fontId="49" fillId="0" borderId="12" xfId="74" applyFont="1" applyBorder="1" applyAlignment="1">
      <alignment horizontal="center" vertical="center" wrapText="1"/>
    </xf>
    <xf numFmtId="0" fontId="49" fillId="0" borderId="12" xfId="74" applyFont="1" applyBorder="1" applyAlignment="1">
      <alignment vertical="center" wrapText="1"/>
    </xf>
    <xf numFmtId="3" fontId="49" fillId="0" borderId="12" xfId="74" applyNumberFormat="1" applyFont="1" applyBorder="1" applyAlignment="1">
      <alignment vertical="center" wrapText="1"/>
    </xf>
    <xf numFmtId="0" fontId="48" fillId="0" borderId="12" xfId="74" applyFont="1" applyBorder="1" applyAlignment="1">
      <alignment vertical="center" wrapText="1"/>
    </xf>
    <xf numFmtId="0" fontId="63" fillId="0" borderId="12" xfId="74" applyFont="1" applyBorder="1" applyAlignment="1">
      <alignment horizontal="center" vertical="center" wrapText="1"/>
    </xf>
    <xf numFmtId="0" fontId="63" fillId="0" borderId="12" xfId="74" applyFont="1" applyBorder="1" applyAlignment="1">
      <alignment vertical="center" wrapText="1"/>
    </xf>
    <xf numFmtId="3" fontId="63" fillId="0" borderId="12" xfId="74" applyNumberFormat="1" applyFont="1" applyBorder="1" applyAlignment="1">
      <alignment vertical="center" wrapText="1"/>
    </xf>
    <xf numFmtId="0" fontId="64" fillId="0" borderId="0" xfId="0" applyFont="1" applyAlignment="1">
      <alignment wrapText="1"/>
    </xf>
    <xf numFmtId="186" fontId="59" fillId="0" borderId="0" xfId="55" applyNumberFormat="1" applyFont="1" applyAlignment="1">
      <alignment wrapText="1"/>
    </xf>
    <xf numFmtId="0" fontId="45" fillId="0" borderId="12" xfId="74" applyFont="1" applyBorder="1" applyAlignment="1">
      <alignment horizontal="left" vertical="center" wrapText="1"/>
    </xf>
    <xf numFmtId="0" fontId="43" fillId="0" borderId="16" xfId="74" applyFont="1" applyBorder="1" applyAlignment="1">
      <alignment horizontal="center" vertical="center" wrapText="1"/>
    </xf>
    <xf numFmtId="0" fontId="43" fillId="0" borderId="16" xfId="74" applyFont="1" applyBorder="1" applyAlignment="1">
      <alignment horizontal="left" vertical="center" wrapText="1"/>
    </xf>
    <xf numFmtId="3" fontId="43" fillId="0" borderId="16" xfId="74" applyNumberFormat="1" applyFont="1" applyBorder="1" applyAlignment="1">
      <alignment vertical="center" wrapText="1"/>
    </xf>
    <xf numFmtId="0" fontId="61" fillId="0" borderId="0" xfId="74" applyFont="1" applyAlignment="1">
      <alignment wrapText="1"/>
    </xf>
    <xf numFmtId="0" fontId="45" fillId="0" borderId="19" xfId="74" applyFont="1" applyBorder="1" applyAlignment="1">
      <alignment horizontal="center" vertical="center" wrapText="1"/>
    </xf>
    <xf numFmtId="0" fontId="2" fillId="0" borderId="0" xfId="0" applyFont="1" applyAlignment="1">
      <alignment vertical="center" wrapText="1"/>
    </xf>
    <xf numFmtId="0" fontId="47" fillId="0" borderId="0" xfId="0" applyFont="1" applyAlignment="1">
      <alignment vertical="center" wrapText="1"/>
    </xf>
    <xf numFmtId="0" fontId="56" fillId="0" borderId="0" xfId="0" applyFont="1" applyAlignment="1">
      <alignment vertical="center" wrapText="1"/>
    </xf>
    <xf numFmtId="0" fontId="50" fillId="0" borderId="0" xfId="0" applyFont="1" applyAlignment="1">
      <alignment vertical="center" wrapText="1"/>
    </xf>
    <xf numFmtId="186" fontId="46" fillId="0" borderId="11" xfId="55" applyNumberFormat="1" applyFont="1" applyFill="1" applyBorder="1" applyAlignment="1">
      <alignment horizontal="right" vertical="center" wrapText="1"/>
    </xf>
    <xf numFmtId="0" fontId="51" fillId="0" borderId="0" xfId="0" applyFont="1" applyAlignment="1">
      <alignment vertical="center" wrapText="1"/>
    </xf>
    <xf numFmtId="0" fontId="46" fillId="0" borderId="11" xfId="0" applyFont="1" applyBorder="1" applyAlignment="1">
      <alignment horizontal="center" vertical="center" wrapText="1"/>
    </xf>
    <xf numFmtId="0" fontId="46" fillId="0" borderId="11" xfId="0" applyFont="1" applyBorder="1" applyAlignment="1">
      <alignment horizontal="left" vertical="center" wrapText="1"/>
    </xf>
    <xf numFmtId="0" fontId="49" fillId="0" borderId="12" xfId="0" applyFont="1" applyBorder="1" applyAlignment="1">
      <alignment vertical="center" wrapText="1"/>
    </xf>
    <xf numFmtId="186" fontId="49" fillId="0" borderId="12" xfId="55" applyNumberFormat="1" applyFont="1" applyFill="1" applyBorder="1" applyAlignment="1">
      <alignment horizontal="right" vertical="center" wrapText="1"/>
    </xf>
    <xf numFmtId="0" fontId="52" fillId="0" borderId="0" xfId="0" applyFont="1" applyAlignment="1">
      <alignment vertical="center" wrapText="1"/>
    </xf>
    <xf numFmtId="186" fontId="48" fillId="0" borderId="12" xfId="55" applyNumberFormat="1" applyFont="1" applyFill="1" applyBorder="1" applyAlignment="1">
      <alignment horizontal="right" vertical="center" wrapText="1"/>
    </xf>
    <xf numFmtId="0" fontId="54" fillId="0" borderId="0" xfId="0" applyFont="1" applyAlignment="1">
      <alignment vertical="center" wrapText="1"/>
    </xf>
    <xf numFmtId="0" fontId="55" fillId="0" borderId="0" xfId="0" applyFont="1" applyAlignment="1">
      <alignment vertical="center" wrapText="1"/>
    </xf>
    <xf numFmtId="0" fontId="66" fillId="0" borderId="0" xfId="0" applyFont="1" applyAlignment="1">
      <alignment vertical="center" wrapText="1"/>
    </xf>
    <xf numFmtId="186" fontId="66" fillId="0" borderId="0" xfId="55" applyNumberFormat="1" applyFont="1" applyFill="1" applyAlignment="1">
      <alignment vertical="center" wrapText="1"/>
    </xf>
    <xf numFmtId="0" fontId="46" fillId="0" borderId="11" xfId="0" applyFont="1" applyBorder="1" applyAlignment="1">
      <alignment vertical="center" wrapText="1"/>
    </xf>
    <xf numFmtId="0" fontId="47" fillId="0" borderId="19" xfId="0" applyFont="1" applyBorder="1" applyAlignment="1">
      <alignment horizontal="center" vertical="center" wrapText="1"/>
    </xf>
    <xf numFmtId="0" fontId="47" fillId="0" borderId="19" xfId="0" applyFont="1" applyBorder="1" applyAlignment="1">
      <alignment vertical="center" wrapText="1"/>
    </xf>
    <xf numFmtId="186" fontId="47" fillId="0" borderId="19" xfId="55" applyNumberFormat="1" applyFont="1" applyFill="1" applyBorder="1" applyAlignment="1">
      <alignment horizontal="right" vertical="center" wrapText="1"/>
    </xf>
    <xf numFmtId="0" fontId="49" fillId="0" borderId="12" xfId="0" applyFont="1" applyBorder="1" applyAlignment="1">
      <alignment horizontal="center" vertical="center" wrapText="1"/>
    </xf>
    <xf numFmtId="0" fontId="47" fillId="0" borderId="12" xfId="0" applyFont="1" applyBorder="1" applyAlignment="1">
      <alignment horizontal="center" vertical="center" wrapText="1"/>
    </xf>
    <xf numFmtId="0" fontId="47" fillId="0" borderId="12" xfId="0" applyFont="1" applyBorder="1" applyAlignment="1">
      <alignment vertical="center" wrapText="1"/>
    </xf>
    <xf numFmtId="186" fontId="47" fillId="0" borderId="12" xfId="55" applyNumberFormat="1" applyFont="1" applyFill="1" applyBorder="1" applyAlignment="1">
      <alignment horizontal="right" vertical="center" wrapText="1"/>
    </xf>
    <xf numFmtId="186" fontId="47" fillId="0" borderId="14" xfId="55" applyNumberFormat="1" applyFont="1" applyFill="1" applyBorder="1" applyAlignment="1">
      <alignment horizontal="right" vertical="center" wrapText="1"/>
    </xf>
    <xf numFmtId="0" fontId="48" fillId="0" borderId="12" xfId="0" quotePrefix="1" applyFont="1" applyBorder="1" applyAlignment="1">
      <alignment vertical="center" wrapText="1"/>
    </xf>
    <xf numFmtId="186" fontId="46" fillId="0" borderId="12" xfId="55" applyNumberFormat="1" applyFont="1" applyFill="1" applyBorder="1" applyAlignment="1">
      <alignment horizontal="right" vertical="center" wrapText="1"/>
    </xf>
    <xf numFmtId="0" fontId="46" fillId="0" borderId="12" xfId="0" applyFont="1" applyBorder="1" applyAlignment="1">
      <alignment horizontal="center" vertical="center" wrapText="1"/>
    </xf>
    <xf numFmtId="0" fontId="46" fillId="0" borderId="12" xfId="0" applyFont="1" applyBorder="1" applyAlignment="1">
      <alignment vertical="center" wrapText="1"/>
    </xf>
    <xf numFmtId="0" fontId="43" fillId="0" borderId="12" xfId="0" applyFont="1" applyBorder="1" applyAlignment="1">
      <alignment horizontal="center" vertical="center" wrapText="1"/>
    </xf>
    <xf numFmtId="0" fontId="43" fillId="0" borderId="12" xfId="0" applyFont="1" applyBorder="1" applyAlignment="1">
      <alignment vertical="center" wrapText="1"/>
    </xf>
    <xf numFmtId="0" fontId="65" fillId="0" borderId="0" xfId="0" applyFont="1" applyAlignment="1">
      <alignment vertical="center" wrapText="1"/>
    </xf>
    <xf numFmtId="0" fontId="43" fillId="0" borderId="12" xfId="0" quotePrefix="1" applyFont="1" applyBorder="1" applyAlignment="1">
      <alignment vertical="center" wrapText="1"/>
    </xf>
    <xf numFmtId="0" fontId="49" fillId="0" borderId="12" xfId="0" quotePrefix="1" applyFont="1" applyBorder="1" applyAlignment="1">
      <alignment vertical="center" wrapText="1"/>
    </xf>
    <xf numFmtId="0" fontId="43" fillId="0" borderId="12" xfId="0" applyFont="1" applyBorder="1" applyAlignment="1">
      <alignment horizontal="left" vertical="center" wrapText="1"/>
    </xf>
    <xf numFmtId="0" fontId="49" fillId="0" borderId="12" xfId="0" quotePrefix="1" applyFont="1" applyBorder="1" applyAlignment="1">
      <alignment horizontal="left" vertical="center" wrapText="1"/>
    </xf>
    <xf numFmtId="0" fontId="48" fillId="0" borderId="12" xfId="0" applyFont="1" applyBorder="1" applyAlignment="1">
      <alignment horizontal="center" vertical="center" wrapText="1"/>
    </xf>
    <xf numFmtId="0" fontId="63" fillId="0" borderId="0" xfId="0" applyFont="1" applyAlignment="1">
      <alignment vertical="center" wrapText="1"/>
    </xf>
    <xf numFmtId="0" fontId="47" fillId="0" borderId="12" xfId="0" quotePrefix="1" applyFont="1" applyBorder="1" applyAlignment="1">
      <alignment vertical="center" wrapText="1"/>
    </xf>
    <xf numFmtId="0" fontId="45" fillId="0" borderId="11" xfId="0" applyFont="1" applyBorder="1" applyAlignment="1">
      <alignment vertical="center" wrapText="1"/>
    </xf>
    <xf numFmtId="186" fontId="45" fillId="0" borderId="11" xfId="55" applyNumberFormat="1" applyFont="1" applyFill="1" applyBorder="1" applyAlignment="1">
      <alignment horizontal="right" vertical="center" wrapText="1"/>
    </xf>
    <xf numFmtId="186" fontId="46" fillId="0" borderId="11" xfId="55" applyNumberFormat="1" applyFont="1" applyFill="1" applyBorder="1" applyAlignment="1">
      <alignment vertical="center" wrapText="1"/>
    </xf>
    <xf numFmtId="186" fontId="2" fillId="0" borderId="0" xfId="55" applyNumberFormat="1" applyFont="1" applyFill="1" applyAlignment="1">
      <alignment vertical="center" wrapText="1"/>
    </xf>
    <xf numFmtId="0" fontId="49" fillId="0" borderId="13" xfId="0" applyFont="1" applyBorder="1" applyAlignment="1">
      <alignment horizontal="center" vertical="center" wrapText="1"/>
    </xf>
    <xf numFmtId="186" fontId="49" fillId="0" borderId="13" xfId="55" applyNumberFormat="1" applyFont="1" applyFill="1" applyBorder="1" applyAlignment="1">
      <alignment horizontal="right" vertical="center" wrapText="1"/>
    </xf>
    <xf numFmtId="43" fontId="59" fillId="0" borderId="0" xfId="55" applyFont="1" applyAlignment="1">
      <alignment wrapText="1"/>
    </xf>
    <xf numFmtId="0" fontId="46" fillId="0" borderId="19" xfId="0" applyFont="1" applyBorder="1" applyAlignment="1">
      <alignment horizontal="center" vertical="center" wrapText="1"/>
    </xf>
    <xf numFmtId="0" fontId="46" fillId="0" borderId="19" xfId="0" applyFont="1" applyBorder="1" applyAlignment="1">
      <alignment vertical="center" wrapText="1"/>
    </xf>
    <xf numFmtId="186" fontId="46" fillId="0" borderId="19" xfId="55" applyNumberFormat="1" applyFont="1" applyFill="1" applyBorder="1" applyAlignment="1">
      <alignment horizontal="right" vertical="center" wrapText="1"/>
    </xf>
    <xf numFmtId="0" fontId="43" fillId="0" borderId="19" xfId="0" applyFont="1" applyBorder="1" applyAlignment="1">
      <alignment horizontal="center" vertical="center" wrapText="1"/>
    </xf>
    <xf numFmtId="0" fontId="26" fillId="0" borderId="0" xfId="0" applyFont="1" applyAlignment="1">
      <alignment wrapText="1"/>
    </xf>
    <xf numFmtId="0" fontId="61" fillId="0" borderId="0" xfId="0" applyFont="1" applyAlignment="1">
      <alignment vertical="center" wrapText="1"/>
    </xf>
    <xf numFmtId="186" fontId="61" fillId="0" borderId="0" xfId="55" applyNumberFormat="1" applyFont="1" applyFill="1" applyAlignment="1">
      <alignment vertical="center" wrapText="1"/>
    </xf>
    <xf numFmtId="0" fontId="43" fillId="0" borderId="19" xfId="0" applyFont="1" applyBorder="1" applyAlignment="1">
      <alignment vertical="center" wrapText="1"/>
    </xf>
    <xf numFmtId="186" fontId="43" fillId="0" borderId="19" xfId="55" applyNumberFormat="1" applyFont="1" applyFill="1" applyBorder="1" applyAlignment="1">
      <alignment vertical="center" wrapText="1"/>
    </xf>
    <xf numFmtId="0" fontId="48" fillId="0" borderId="12" xfId="0" applyFont="1" applyBorder="1" applyAlignment="1">
      <alignment vertical="center" wrapText="1"/>
    </xf>
    <xf numFmtId="186" fontId="43" fillId="0" borderId="12" xfId="55" applyNumberFormat="1" applyFont="1" applyFill="1" applyBorder="1" applyAlignment="1">
      <alignment vertical="center" wrapText="1"/>
    </xf>
    <xf numFmtId="0" fontId="47" fillId="0" borderId="11" xfId="0" applyFont="1" applyBorder="1" applyAlignment="1">
      <alignment vertical="center" wrapText="1"/>
    </xf>
    <xf numFmtId="186" fontId="49" fillId="0" borderId="14" xfId="55" applyNumberFormat="1" applyFont="1" applyFill="1" applyBorder="1" applyAlignment="1">
      <alignment horizontal="right" vertical="center" wrapText="1"/>
    </xf>
    <xf numFmtId="186" fontId="43" fillId="0" borderId="13" xfId="55" applyNumberFormat="1" applyFont="1" applyFill="1" applyBorder="1" applyAlignment="1">
      <alignment vertical="center" wrapText="1"/>
    </xf>
    <xf numFmtId="186" fontId="47" fillId="0" borderId="0" xfId="55" applyNumberFormat="1" applyFont="1" applyFill="1" applyAlignment="1">
      <alignment vertical="center" wrapText="1"/>
    </xf>
    <xf numFmtId="0" fontId="57" fillId="0" borderId="0" xfId="0" applyFont="1" applyAlignment="1">
      <alignment vertical="center" wrapText="1"/>
    </xf>
    <xf numFmtId="0" fontId="68" fillId="0" borderId="0" xfId="0" applyFont="1" applyAlignment="1">
      <alignment vertical="center" wrapText="1"/>
    </xf>
    <xf numFmtId="186" fontId="46" fillId="0" borderId="18" xfId="55" applyNumberFormat="1" applyFont="1" applyFill="1" applyBorder="1" applyAlignment="1">
      <alignment horizontal="center" vertical="center" wrapText="1"/>
    </xf>
    <xf numFmtId="186" fontId="49" fillId="0" borderId="15" xfId="55" applyNumberFormat="1" applyFont="1" applyFill="1" applyBorder="1" applyAlignment="1">
      <alignment horizontal="right" vertical="center" wrapText="1"/>
    </xf>
    <xf numFmtId="0" fontId="47" fillId="0" borderId="11" xfId="0" applyFont="1" applyBorder="1" applyAlignment="1">
      <alignment horizontal="center" vertical="center" wrapText="1"/>
    </xf>
    <xf numFmtId="186" fontId="47" fillId="0" borderId="11" xfId="55" applyNumberFormat="1" applyFont="1" applyFill="1" applyBorder="1" applyAlignment="1">
      <alignment horizontal="right" vertical="center" wrapText="1"/>
    </xf>
    <xf numFmtId="186" fontId="49" fillId="0" borderId="16" xfId="55" applyNumberFormat="1" applyFont="1" applyFill="1" applyBorder="1" applyAlignment="1">
      <alignment horizontal="right" vertical="center" wrapText="1"/>
    </xf>
    <xf numFmtId="183" fontId="45" fillId="0" borderId="12" xfId="74" applyNumberFormat="1" applyFont="1" applyBorder="1" applyAlignment="1">
      <alignment vertical="center" wrapText="1"/>
    </xf>
    <xf numFmtId="183" fontId="43" fillId="0" borderId="12" xfId="74" applyNumberFormat="1" applyFont="1" applyBorder="1" applyAlignment="1">
      <alignment vertical="center" wrapText="1"/>
    </xf>
    <xf numFmtId="183" fontId="49" fillId="0" borderId="12" xfId="74" applyNumberFormat="1" applyFont="1" applyBorder="1" applyAlignment="1">
      <alignment vertical="center" wrapText="1"/>
    </xf>
    <xf numFmtId="183" fontId="48" fillId="0" borderId="12" xfId="74" applyNumberFormat="1" applyFont="1" applyBorder="1" applyAlignment="1">
      <alignment vertical="center" wrapText="1"/>
    </xf>
    <xf numFmtId="183" fontId="43" fillId="0" borderId="16" xfId="74" applyNumberFormat="1" applyFont="1" applyBorder="1" applyAlignment="1">
      <alignment vertical="center" wrapText="1"/>
    </xf>
    <xf numFmtId="184" fontId="43" fillId="0" borderId="0" xfId="0" applyNumberFormat="1" applyFont="1" applyAlignment="1">
      <alignment horizontal="center" vertical="center" wrapText="1"/>
    </xf>
    <xf numFmtId="185" fontId="46" fillId="0" borderId="11" xfId="55" applyNumberFormat="1" applyFont="1" applyFill="1" applyBorder="1" applyAlignment="1">
      <alignment horizontal="center" vertical="center" wrapText="1"/>
    </xf>
    <xf numFmtId="185" fontId="47" fillId="0" borderId="19" xfId="55" applyNumberFormat="1" applyFont="1" applyFill="1" applyBorder="1" applyAlignment="1">
      <alignment horizontal="center" vertical="center" wrapText="1"/>
    </xf>
    <xf numFmtId="185" fontId="49" fillId="0" borderId="12" xfId="55" applyNumberFormat="1" applyFont="1" applyFill="1" applyBorder="1" applyAlignment="1">
      <alignment horizontal="center" vertical="center" wrapText="1"/>
    </xf>
    <xf numFmtId="185" fontId="47" fillId="0" borderId="12" xfId="55" applyNumberFormat="1" applyFont="1" applyFill="1" applyBorder="1" applyAlignment="1">
      <alignment horizontal="center" vertical="center" wrapText="1"/>
    </xf>
    <xf numFmtId="185" fontId="47" fillId="0" borderId="12" xfId="0" applyNumberFormat="1" applyFont="1" applyBorder="1" applyAlignment="1">
      <alignment horizontal="center" vertical="center" wrapText="1"/>
    </xf>
    <xf numFmtId="185" fontId="46" fillId="0" borderId="12" xfId="55" applyNumberFormat="1" applyFont="1" applyFill="1" applyBorder="1" applyAlignment="1">
      <alignment horizontal="center" vertical="center" wrapText="1"/>
    </xf>
    <xf numFmtId="185" fontId="43" fillId="0" borderId="12" xfId="55" applyNumberFormat="1" applyFont="1" applyFill="1" applyBorder="1" applyAlignment="1">
      <alignment horizontal="center" vertical="center" wrapText="1"/>
    </xf>
    <xf numFmtId="185" fontId="49" fillId="0" borderId="12" xfId="0" applyNumberFormat="1" applyFont="1" applyBorder="1" applyAlignment="1">
      <alignment horizontal="center" vertical="center" wrapText="1"/>
    </xf>
    <xf numFmtId="185" fontId="45" fillId="0" borderId="11" xfId="0" applyNumberFormat="1" applyFont="1" applyBorder="1" applyAlignment="1">
      <alignment horizontal="center" vertical="center" wrapText="1"/>
    </xf>
    <xf numFmtId="185" fontId="47" fillId="0" borderId="11" xfId="0" applyNumberFormat="1" applyFont="1" applyBorder="1" applyAlignment="1">
      <alignment horizontal="center" vertical="center" wrapText="1"/>
    </xf>
    <xf numFmtId="185" fontId="46" fillId="0" borderId="11" xfId="0" applyNumberFormat="1" applyFont="1" applyBorder="1" applyAlignment="1">
      <alignment horizontal="center" vertical="center" wrapText="1"/>
    </xf>
    <xf numFmtId="185" fontId="45" fillId="0" borderId="11" xfId="55" applyNumberFormat="1" applyFont="1" applyFill="1" applyBorder="1" applyAlignment="1">
      <alignment horizontal="center" vertical="center" wrapText="1"/>
    </xf>
    <xf numFmtId="185" fontId="43" fillId="0" borderId="19" xfId="0" applyNumberFormat="1" applyFont="1" applyBorder="1" applyAlignment="1">
      <alignment horizontal="center" vertical="center" wrapText="1"/>
    </xf>
    <xf numFmtId="185" fontId="49" fillId="0" borderId="14" xfId="55" applyNumberFormat="1" applyFont="1" applyFill="1" applyBorder="1" applyAlignment="1">
      <alignment horizontal="center" vertical="center" wrapText="1"/>
    </xf>
    <xf numFmtId="185" fontId="48" fillId="0" borderId="12" xfId="0" applyNumberFormat="1" applyFont="1" applyBorder="1" applyAlignment="1">
      <alignment horizontal="center" vertical="center" wrapText="1"/>
    </xf>
    <xf numFmtId="0" fontId="47" fillId="0" borderId="0" xfId="0" applyFont="1" applyAlignment="1">
      <alignment horizontal="center" vertical="center" wrapText="1"/>
    </xf>
    <xf numFmtId="0" fontId="61" fillId="0" borderId="0" xfId="0" applyFont="1" applyAlignment="1">
      <alignment horizontal="center" vertical="center" wrapText="1"/>
    </xf>
    <xf numFmtId="186" fontId="47" fillId="0" borderId="19" xfId="55" applyNumberFormat="1" applyFont="1" applyFill="1" applyBorder="1" applyAlignment="1">
      <alignment horizontal="center" vertical="center" wrapText="1"/>
    </xf>
    <xf numFmtId="186" fontId="49" fillId="0" borderId="12" xfId="55" applyNumberFormat="1" applyFont="1" applyFill="1" applyBorder="1" applyAlignment="1">
      <alignment horizontal="center" vertical="center" wrapText="1"/>
    </xf>
    <xf numFmtId="186" fontId="47" fillId="0" borderId="12" xfId="55" applyNumberFormat="1" applyFont="1" applyFill="1" applyBorder="1" applyAlignment="1">
      <alignment horizontal="center" vertical="center" wrapText="1"/>
    </xf>
    <xf numFmtId="0" fontId="59" fillId="0" borderId="0" xfId="0" applyFont="1" applyAlignment="1">
      <alignment horizontal="center" vertical="center" wrapText="1"/>
    </xf>
    <xf numFmtId="0" fontId="50" fillId="0" borderId="12" xfId="74" quotePrefix="1" applyFont="1" applyBorder="1" applyAlignment="1">
      <alignment vertical="center" wrapText="1"/>
    </xf>
    <xf numFmtId="49" fontId="71" fillId="0" borderId="12" xfId="74" applyNumberFormat="1" applyFont="1" applyBorder="1" applyAlignment="1">
      <alignment horizontal="center" vertical="center" wrapText="1"/>
    </xf>
    <xf numFmtId="0" fontId="50" fillId="0" borderId="11" xfId="74" quotePrefix="1" applyFont="1" applyBorder="1" applyAlignment="1">
      <alignment vertical="center" wrapText="1"/>
    </xf>
    <xf numFmtId="0" fontId="45" fillId="0" borderId="13" xfId="74" applyFont="1" applyBorder="1" applyAlignment="1">
      <alignment horizontal="center" vertical="center" wrapText="1"/>
    </xf>
    <xf numFmtId="0" fontId="45" fillId="0" borderId="13" xfId="74" applyFont="1" applyBorder="1" applyAlignment="1">
      <alignment vertical="center" wrapText="1"/>
    </xf>
    <xf numFmtId="3" fontId="45" fillId="0" borderId="13" xfId="74" applyNumberFormat="1" applyFont="1" applyBorder="1" applyAlignment="1">
      <alignment vertical="center" wrapText="1"/>
    </xf>
    <xf numFmtId="183" fontId="45" fillId="0" borderId="13" xfId="74" applyNumberFormat="1" applyFont="1" applyBorder="1" applyAlignment="1">
      <alignment vertical="center" wrapText="1"/>
    </xf>
    <xf numFmtId="3" fontId="47" fillId="0" borderId="12" xfId="0" applyNumberFormat="1" applyFont="1" applyBorder="1" applyAlignment="1">
      <alignment vertical="center" wrapText="1"/>
    </xf>
    <xf numFmtId="0" fontId="49" fillId="0" borderId="14" xfId="0" applyFont="1" applyBorder="1" applyAlignment="1">
      <alignment horizontal="center" vertical="center" wrapText="1"/>
    </xf>
    <xf numFmtId="0" fontId="49" fillId="0" borderId="14" xfId="0" applyFont="1" applyBorder="1" applyAlignment="1">
      <alignment vertical="center" wrapText="1"/>
    </xf>
    <xf numFmtId="0" fontId="49" fillId="0" borderId="15" xfId="0" applyFont="1" applyBorder="1" applyAlignment="1">
      <alignment horizontal="center" vertical="center" wrapText="1"/>
    </xf>
    <xf numFmtId="0" fontId="49" fillId="0" borderId="15" xfId="0" applyFont="1" applyBorder="1" applyAlignment="1">
      <alignment vertical="center" wrapText="1"/>
    </xf>
    <xf numFmtId="185" fontId="49" fillId="0" borderId="15" xfId="55" applyNumberFormat="1" applyFont="1" applyFill="1" applyBorder="1" applyAlignment="1">
      <alignment horizontal="center" vertical="center" wrapText="1"/>
    </xf>
    <xf numFmtId="187" fontId="59" fillId="0" borderId="0" xfId="0" applyNumberFormat="1" applyFont="1" applyAlignment="1">
      <alignment wrapText="1"/>
    </xf>
    <xf numFmtId="185" fontId="49" fillId="0" borderId="16" xfId="0" applyNumberFormat="1" applyFont="1" applyBorder="1" applyAlignment="1">
      <alignment horizontal="center" vertical="center" wrapText="1"/>
    </xf>
    <xf numFmtId="0" fontId="47" fillId="0" borderId="12" xfId="74" applyFont="1" applyBorder="1" applyAlignment="1">
      <alignment vertical="center" wrapText="1"/>
    </xf>
    <xf numFmtId="186" fontId="47" fillId="0" borderId="12" xfId="55" applyNumberFormat="1" applyFont="1" applyFill="1" applyBorder="1" applyAlignment="1">
      <alignment vertical="center" wrapText="1"/>
    </xf>
    <xf numFmtId="0" fontId="47" fillId="0" borderId="12" xfId="74" quotePrefix="1" applyFont="1" applyBorder="1" applyAlignment="1">
      <alignment vertical="center" wrapText="1"/>
    </xf>
    <xf numFmtId="0" fontId="49" fillId="0" borderId="19" xfId="0" applyFont="1" applyBorder="1" applyAlignment="1">
      <alignment horizontal="center" vertical="center" wrapText="1"/>
    </xf>
    <xf numFmtId="0" fontId="49" fillId="0" borderId="19" xfId="74" quotePrefix="1" applyFont="1" applyBorder="1" applyAlignment="1">
      <alignment vertical="center" wrapText="1"/>
    </xf>
    <xf numFmtId="186" fontId="49" fillId="0" borderId="19" xfId="55" applyNumberFormat="1" applyFont="1" applyFill="1" applyBorder="1" applyAlignment="1">
      <alignment horizontal="right" vertical="center" wrapText="1"/>
    </xf>
    <xf numFmtId="185" fontId="49" fillId="0" borderId="19" xfId="0" applyNumberFormat="1" applyFont="1" applyBorder="1" applyAlignment="1">
      <alignment horizontal="center" vertical="center" wrapText="1"/>
    </xf>
    <xf numFmtId="0" fontId="49" fillId="0" borderId="16" xfId="0" applyFont="1" applyBorder="1" applyAlignment="1">
      <alignment horizontal="center" vertical="center" wrapText="1"/>
    </xf>
    <xf numFmtId="0" fontId="49" fillId="0" borderId="16" xfId="74" quotePrefix="1" applyFont="1" applyBorder="1" applyAlignment="1">
      <alignment vertical="center" wrapText="1"/>
    </xf>
    <xf numFmtId="0" fontId="45" fillId="0" borderId="0" xfId="74" applyFont="1" applyAlignment="1">
      <alignment horizontal="center" vertical="center" wrapText="1"/>
    </xf>
    <xf numFmtId="0" fontId="44" fillId="0" borderId="0" xfId="74" applyFont="1" applyAlignment="1">
      <alignment horizontal="center" vertical="center" wrapText="1"/>
    </xf>
    <xf numFmtId="185" fontId="46" fillId="0" borderId="19" xfId="55" applyNumberFormat="1" applyFont="1" applyFill="1" applyBorder="1" applyAlignment="1">
      <alignment horizontal="center" vertical="center" wrapText="1"/>
    </xf>
    <xf numFmtId="185" fontId="47" fillId="0" borderId="19" xfId="0" applyNumberFormat="1" applyFont="1" applyBorder="1" applyAlignment="1">
      <alignment horizontal="center" vertical="center" wrapText="1"/>
    </xf>
    <xf numFmtId="0" fontId="72" fillId="0" borderId="0" xfId="0" applyFont="1" applyAlignment="1">
      <alignment vertical="center" wrapText="1"/>
    </xf>
    <xf numFmtId="0" fontId="49" fillId="0" borderId="16" xfId="0" applyFont="1" applyBorder="1" applyAlignment="1">
      <alignment vertical="center" wrapText="1"/>
    </xf>
    <xf numFmtId="186" fontId="49" fillId="0" borderId="16" xfId="55" applyNumberFormat="1" applyFont="1" applyFill="1" applyBorder="1" applyAlignment="1">
      <alignment horizontal="center" vertical="center" wrapText="1"/>
    </xf>
    <xf numFmtId="184" fontId="65" fillId="0" borderId="0" xfId="0" applyNumberFormat="1" applyFont="1" applyAlignment="1">
      <alignment horizontal="center" vertical="center" wrapText="1"/>
    </xf>
    <xf numFmtId="0" fontId="46" fillId="0" borderId="18" xfId="0" applyFont="1" applyBorder="1" applyAlignment="1">
      <alignment horizontal="center" vertical="center" wrapText="1"/>
    </xf>
    <xf numFmtId="186" fontId="46" fillId="0" borderId="11" xfId="55" applyNumberFormat="1" applyFont="1" applyFill="1" applyBorder="1" applyAlignment="1">
      <alignment horizontal="center" vertical="center" wrapText="1"/>
    </xf>
    <xf numFmtId="0" fontId="43" fillId="0" borderId="18" xfId="74" applyFont="1" applyBorder="1" applyAlignment="1">
      <alignment horizontal="center" vertical="center" wrapText="1"/>
    </xf>
    <xf numFmtId="0" fontId="45" fillId="0" borderId="18" xfId="74" applyFont="1" applyBorder="1" applyAlignment="1">
      <alignment vertical="center" wrapText="1"/>
    </xf>
    <xf numFmtId="3" fontId="45" fillId="0" borderId="18" xfId="74" applyNumberFormat="1" applyFont="1" applyBorder="1" applyAlignment="1">
      <alignment vertical="center" wrapText="1"/>
    </xf>
    <xf numFmtId="183" fontId="45" fillId="0" borderId="18" xfId="74" applyNumberFormat="1" applyFont="1" applyBorder="1" applyAlignment="1">
      <alignment vertical="center" wrapText="1"/>
    </xf>
    <xf numFmtId="0" fontId="45" fillId="0" borderId="19" xfId="74" applyFont="1" applyBorder="1" applyAlignment="1">
      <alignment vertical="center" wrapText="1"/>
    </xf>
    <xf numFmtId="3" fontId="45" fillId="0" borderId="19" xfId="74" applyNumberFormat="1" applyFont="1" applyBorder="1" applyAlignment="1">
      <alignment vertical="center" wrapText="1"/>
    </xf>
    <xf numFmtId="183" fontId="45" fillId="0" borderId="19" xfId="74" applyNumberFormat="1" applyFont="1" applyBorder="1" applyAlignment="1">
      <alignment vertical="center" wrapText="1"/>
    </xf>
    <xf numFmtId="3" fontId="58" fillId="0" borderId="0" xfId="0" applyNumberFormat="1" applyFont="1" applyAlignment="1">
      <alignment wrapText="1"/>
    </xf>
    <xf numFmtId="0" fontId="48" fillId="0" borderId="12" xfId="74" quotePrefix="1" applyFont="1" applyBorder="1" applyAlignment="1">
      <alignment vertical="center" wrapText="1"/>
    </xf>
    <xf numFmtId="3" fontId="73" fillId="0" borderId="0" xfId="0" applyNumberFormat="1" applyFont="1" applyAlignment="1">
      <alignment wrapText="1"/>
    </xf>
    <xf numFmtId="186" fontId="60" fillId="0" borderId="0" xfId="55" applyNumberFormat="1" applyFont="1" applyAlignment="1">
      <alignment wrapText="1"/>
    </xf>
    <xf numFmtId="3" fontId="60" fillId="0" borderId="0" xfId="0" applyNumberFormat="1" applyFont="1" applyAlignment="1">
      <alignment wrapText="1"/>
    </xf>
    <xf numFmtId="0" fontId="49" fillId="0" borderId="12" xfId="74" quotePrefix="1" applyFont="1" applyBorder="1" applyAlignment="1">
      <alignment vertical="center" wrapText="1"/>
    </xf>
    <xf numFmtId="3" fontId="51" fillId="0" borderId="0" xfId="0" applyNumberFormat="1" applyFont="1" applyAlignment="1">
      <alignment vertical="center" wrapText="1"/>
    </xf>
    <xf numFmtId="186" fontId="51" fillId="0" borderId="0" xfId="0" applyNumberFormat="1" applyFont="1" applyAlignment="1">
      <alignment vertical="center" wrapText="1"/>
    </xf>
    <xf numFmtId="0" fontId="75" fillId="0" borderId="12" xfId="0" applyFont="1" applyBorder="1" applyAlignment="1">
      <alignment horizontal="center" vertical="center" wrapText="1"/>
    </xf>
    <xf numFmtId="0" fontId="75" fillId="0" borderId="12" xfId="0" applyFont="1" applyBorder="1" applyAlignment="1">
      <alignment vertical="center" wrapText="1"/>
    </xf>
    <xf numFmtId="186" fontId="75" fillId="0" borderId="12" xfId="55" applyNumberFormat="1" applyFont="1" applyFill="1" applyBorder="1" applyAlignment="1">
      <alignment horizontal="right" vertical="center" wrapText="1"/>
    </xf>
    <xf numFmtId="186" fontId="77" fillId="0" borderId="12" xfId="55" applyNumberFormat="1" applyFont="1" applyFill="1" applyBorder="1" applyAlignment="1">
      <alignment horizontal="right" vertical="center" wrapText="1"/>
    </xf>
    <xf numFmtId="186" fontId="76" fillId="0" borderId="12" xfId="55" applyNumberFormat="1" applyFont="1" applyFill="1" applyBorder="1" applyAlignment="1">
      <alignment horizontal="right" vertical="center" wrapText="1"/>
    </xf>
    <xf numFmtId="186" fontId="50" fillId="0" borderId="0" xfId="0" applyNumberFormat="1" applyFont="1" applyAlignment="1">
      <alignment vertical="center" wrapText="1"/>
    </xf>
    <xf numFmtId="186" fontId="65" fillId="0" borderId="0" xfId="0" applyNumberFormat="1" applyFont="1" applyAlignment="1">
      <alignment vertical="center" wrapText="1"/>
    </xf>
    <xf numFmtId="186" fontId="63" fillId="0" borderId="0" xfId="0" applyNumberFormat="1" applyFont="1" applyAlignment="1">
      <alignment vertical="center" wrapText="1"/>
    </xf>
    <xf numFmtId="185" fontId="49" fillId="0" borderId="13" xfId="55" applyNumberFormat="1" applyFont="1" applyFill="1" applyBorder="1" applyAlignment="1">
      <alignment horizontal="center" vertical="center" wrapText="1"/>
    </xf>
    <xf numFmtId="0" fontId="49" fillId="0" borderId="13" xfId="0" applyFont="1" applyBorder="1" applyAlignment="1">
      <alignment vertical="center" wrapText="1"/>
    </xf>
    <xf numFmtId="185" fontId="47" fillId="0" borderId="11" xfId="55" applyNumberFormat="1" applyFont="1" applyFill="1" applyBorder="1" applyAlignment="1">
      <alignment horizontal="center" vertical="center" wrapText="1"/>
    </xf>
    <xf numFmtId="0" fontId="49" fillId="0" borderId="0" xfId="0" applyFont="1" applyAlignment="1">
      <alignment vertical="center" wrapText="1"/>
    </xf>
    <xf numFmtId="0" fontId="49" fillId="0" borderId="19" xfId="0" applyFont="1" applyBorder="1" applyAlignment="1">
      <alignment vertical="center" wrapText="1"/>
    </xf>
    <xf numFmtId="185" fontId="49" fillId="0" borderId="19" xfId="55" applyNumberFormat="1" applyFont="1" applyFill="1" applyBorder="1" applyAlignment="1">
      <alignment horizontal="center" vertical="center" wrapText="1"/>
    </xf>
    <xf numFmtId="185" fontId="49" fillId="0" borderId="16" xfId="55" applyNumberFormat="1" applyFont="1" applyFill="1" applyBorder="1" applyAlignment="1">
      <alignment horizontal="center" vertical="center" wrapText="1"/>
    </xf>
    <xf numFmtId="0" fontId="46" fillId="0" borderId="0" xfId="74" applyFont="1" applyAlignment="1">
      <alignment vertical="center" wrapText="1"/>
    </xf>
    <xf numFmtId="0" fontId="45" fillId="0" borderId="11" xfId="74" applyFont="1" applyBorder="1" applyAlignment="1">
      <alignment vertical="center" wrapText="1"/>
    </xf>
    <xf numFmtId="3" fontId="45" fillId="0" borderId="11" xfId="74" applyNumberFormat="1" applyFont="1" applyBorder="1" applyAlignment="1">
      <alignment vertical="center" wrapText="1"/>
    </xf>
    <xf numFmtId="0" fontId="59" fillId="0" borderId="0" xfId="0" applyFont="1"/>
    <xf numFmtId="0" fontId="26" fillId="0" borderId="11" xfId="0" applyFont="1" applyBorder="1"/>
    <xf numFmtId="43" fontId="26" fillId="0" borderId="11" xfId="55" applyFont="1" applyBorder="1"/>
    <xf numFmtId="0" fontId="59" fillId="0" borderId="11" xfId="0" applyFont="1" applyBorder="1"/>
    <xf numFmtId="43" fontId="59" fillId="0" borderId="11" xfId="55" applyFont="1" applyBorder="1"/>
    <xf numFmtId="43" fontId="59" fillId="0" borderId="0" xfId="55" applyFont="1"/>
    <xf numFmtId="0" fontId="59" fillId="0" borderId="11" xfId="0" applyFont="1" applyBorder="1" applyAlignment="1">
      <alignment wrapText="1"/>
    </xf>
    <xf numFmtId="186" fontId="52" fillId="0" borderId="0" xfId="0" applyNumberFormat="1" applyFont="1" applyAlignment="1">
      <alignment vertical="center" wrapText="1"/>
    </xf>
    <xf numFmtId="43" fontId="52" fillId="0" borderId="0" xfId="55" applyFont="1" applyFill="1" applyAlignment="1">
      <alignment vertical="center" wrapText="1"/>
    </xf>
    <xf numFmtId="0" fontId="47" fillId="0" borderId="16" xfId="0" applyFont="1" applyBorder="1" applyAlignment="1">
      <alignment horizontal="center" vertical="center" wrapText="1"/>
    </xf>
    <xf numFmtId="0" fontId="47" fillId="0" borderId="16" xfId="0" applyFont="1" applyBorder="1" applyAlignment="1">
      <alignment vertical="center" wrapText="1"/>
    </xf>
    <xf numFmtId="0" fontId="78" fillId="0" borderId="0" xfId="0" applyFont="1" applyAlignment="1">
      <alignment vertical="center" wrapText="1"/>
    </xf>
    <xf numFmtId="185" fontId="75" fillId="0" borderId="12" xfId="55" applyNumberFormat="1" applyFont="1" applyFill="1" applyBorder="1" applyAlignment="1">
      <alignment horizontal="center" vertical="center" wrapText="1"/>
    </xf>
    <xf numFmtId="0" fontId="46" fillId="25" borderId="12" xfId="0" applyFont="1" applyFill="1" applyBorder="1" applyAlignment="1">
      <alignment horizontal="center" vertical="center" wrapText="1"/>
    </xf>
    <xf numFmtId="0" fontId="46" fillId="25" borderId="12" xfId="0" applyFont="1" applyFill="1" applyBorder="1" applyAlignment="1">
      <alignment vertical="center" wrapText="1"/>
    </xf>
    <xf numFmtId="186" fontId="46" fillId="25" borderId="12" xfId="55" applyNumberFormat="1" applyFont="1" applyFill="1" applyBorder="1" applyAlignment="1">
      <alignment horizontal="right" vertical="center" wrapText="1"/>
    </xf>
    <xf numFmtId="185" fontId="46" fillId="25" borderId="12" xfId="55" applyNumberFormat="1" applyFont="1" applyFill="1" applyBorder="1" applyAlignment="1">
      <alignment horizontal="center" vertical="center" wrapText="1"/>
    </xf>
    <xf numFmtId="186" fontId="51" fillId="25" borderId="0" xfId="0" applyNumberFormat="1" applyFont="1" applyFill="1" applyAlignment="1">
      <alignment vertical="center" wrapText="1"/>
    </xf>
    <xf numFmtId="0" fontId="51" fillId="25" borderId="0" xfId="0" applyFont="1" applyFill="1" applyAlignment="1">
      <alignment vertical="center" wrapText="1"/>
    </xf>
    <xf numFmtId="0" fontId="47" fillId="25" borderId="12" xfId="0" applyFont="1" applyFill="1" applyBorder="1" applyAlignment="1">
      <alignment horizontal="center" vertical="center" wrapText="1"/>
    </xf>
    <xf numFmtId="186" fontId="47" fillId="25" borderId="12" xfId="55" applyNumberFormat="1" applyFont="1" applyFill="1" applyBorder="1" applyAlignment="1">
      <alignment horizontal="right" vertical="center" wrapText="1"/>
    </xf>
    <xf numFmtId="185" fontId="47" fillId="25" borderId="12" xfId="0" applyNumberFormat="1" applyFont="1" applyFill="1" applyBorder="1" applyAlignment="1">
      <alignment horizontal="center" vertical="center" wrapText="1"/>
    </xf>
    <xf numFmtId="0" fontId="50" fillId="25" borderId="0" xfId="0" applyFont="1" applyFill="1" applyAlignment="1">
      <alignment vertical="center" wrapText="1"/>
    </xf>
    <xf numFmtId="0" fontId="47" fillId="25" borderId="12" xfId="0" quotePrefix="1" applyFont="1" applyFill="1" applyBorder="1" applyAlignment="1">
      <alignment vertical="center" wrapText="1"/>
    </xf>
    <xf numFmtId="185" fontId="57" fillId="25" borderId="12" xfId="0" applyNumberFormat="1" applyFont="1" applyFill="1" applyBorder="1" applyAlignment="1">
      <alignment horizontal="center" vertical="center" wrapText="1"/>
    </xf>
    <xf numFmtId="186" fontId="47" fillId="0" borderId="19" xfId="55" applyNumberFormat="1" applyFont="1" applyFill="1" applyBorder="1" applyAlignment="1">
      <alignment vertical="center" wrapText="1"/>
    </xf>
    <xf numFmtId="186" fontId="47" fillId="0" borderId="16" xfId="55" applyNumberFormat="1" applyFont="1" applyFill="1" applyBorder="1" applyAlignment="1">
      <alignment vertical="center" wrapText="1"/>
    </xf>
    <xf numFmtId="0" fontId="49" fillId="25" borderId="12" xfId="0" applyFont="1" applyFill="1" applyBorder="1" applyAlignment="1">
      <alignment horizontal="center" vertical="center" wrapText="1"/>
    </xf>
    <xf numFmtId="186" fontId="49" fillId="25" borderId="12" xfId="55" applyNumberFormat="1" applyFont="1" applyFill="1" applyBorder="1" applyAlignment="1">
      <alignment horizontal="right" vertical="center" wrapText="1"/>
    </xf>
    <xf numFmtId="186" fontId="49" fillId="0" borderId="0" xfId="55" applyNumberFormat="1" applyFont="1" applyFill="1" applyBorder="1" applyAlignment="1">
      <alignment horizontal="right" vertical="center" wrapText="1"/>
    </xf>
    <xf numFmtId="0" fontId="47" fillId="0" borderId="15" xfId="0" applyFont="1" applyBorder="1" applyAlignment="1">
      <alignment horizontal="center" vertical="center" wrapText="1"/>
    </xf>
    <xf numFmtId="186" fontId="47" fillId="0" borderId="15" xfId="55" applyNumberFormat="1" applyFont="1" applyFill="1" applyBorder="1" applyAlignment="1">
      <alignment horizontal="right" vertical="center" wrapText="1"/>
    </xf>
    <xf numFmtId="185" fontId="79" fillId="0" borderId="12" xfId="55" applyNumberFormat="1" applyFont="1" applyFill="1" applyBorder="1" applyAlignment="1">
      <alignment horizontal="center" vertical="center" wrapText="1"/>
    </xf>
    <xf numFmtId="0" fontId="80" fillId="0" borderId="0" xfId="0" applyFont="1" applyAlignment="1">
      <alignment vertical="center" wrapText="1"/>
    </xf>
    <xf numFmtId="43" fontId="80" fillId="0" borderId="0" xfId="55" applyFont="1" applyFill="1" applyAlignment="1">
      <alignment vertical="center" wrapText="1"/>
    </xf>
    <xf numFmtId="0" fontId="49" fillId="25" borderId="12" xfId="0" quotePrefix="1" applyFont="1" applyFill="1" applyBorder="1" applyAlignment="1">
      <alignment vertical="center" wrapText="1"/>
    </xf>
    <xf numFmtId="43" fontId="80" fillId="25" borderId="0" xfId="55" applyFont="1" applyFill="1" applyAlignment="1">
      <alignment vertical="center" wrapText="1"/>
    </xf>
    <xf numFmtId="0" fontId="80" fillId="25" borderId="0" xfId="0" applyFont="1" applyFill="1" applyAlignment="1">
      <alignment vertical="center" wrapText="1"/>
    </xf>
    <xf numFmtId="186" fontId="74" fillId="0" borderId="12" xfId="55" applyNumberFormat="1" applyFont="1" applyFill="1" applyBorder="1" applyAlignment="1">
      <alignment horizontal="right" vertical="center" wrapText="1"/>
    </xf>
    <xf numFmtId="185" fontId="57" fillId="0" borderId="12" xfId="0" applyNumberFormat="1" applyFont="1" applyBorder="1" applyAlignment="1">
      <alignment horizontal="center" vertical="center" wrapText="1"/>
    </xf>
    <xf numFmtId="185" fontId="69" fillId="0" borderId="11" xfId="55" applyNumberFormat="1" applyFont="1" applyFill="1" applyBorder="1" applyAlignment="1">
      <alignment horizontal="center" vertical="center" wrapText="1"/>
    </xf>
    <xf numFmtId="185" fontId="57" fillId="0" borderId="15" xfId="0" applyNumberFormat="1" applyFont="1" applyBorder="1" applyAlignment="1">
      <alignment horizontal="center" vertical="center" wrapText="1"/>
    </xf>
    <xf numFmtId="186" fontId="78" fillId="0" borderId="0" xfId="0" applyNumberFormat="1" applyFont="1" applyAlignment="1">
      <alignment vertical="center" wrapText="1"/>
    </xf>
    <xf numFmtId="185" fontId="57" fillId="0" borderId="19" xfId="0" applyNumberFormat="1" applyFont="1" applyBorder="1" applyAlignment="1">
      <alignment horizontal="center" vertical="center" wrapText="1"/>
    </xf>
    <xf numFmtId="186" fontId="47" fillId="0" borderId="16" xfId="55" applyNumberFormat="1" applyFont="1" applyFill="1" applyBorder="1" applyAlignment="1">
      <alignment horizontal="right" vertical="center" wrapText="1"/>
    </xf>
    <xf numFmtId="185" fontId="49" fillId="25" borderId="14" xfId="55" applyNumberFormat="1" applyFont="1" applyFill="1" applyBorder="1" applyAlignment="1">
      <alignment horizontal="center" vertical="center" wrapText="1"/>
    </xf>
    <xf numFmtId="41" fontId="0" fillId="0" borderId="0" xfId="102" applyFont="1"/>
    <xf numFmtId="0" fontId="43" fillId="0" borderId="13" xfId="74" applyFont="1" applyBorder="1" applyAlignment="1">
      <alignment horizontal="center" vertical="center" wrapText="1"/>
    </xf>
    <xf numFmtId="0" fontId="43" fillId="0" borderId="13" xfId="74" applyFont="1" applyBorder="1" applyAlignment="1">
      <alignment vertical="center" wrapText="1"/>
    </xf>
    <xf numFmtId="3" fontId="43" fillId="0" borderId="13" xfId="74" applyNumberFormat="1" applyFont="1" applyBorder="1" applyAlignment="1">
      <alignment vertical="center" wrapText="1"/>
    </xf>
    <xf numFmtId="183" fontId="43" fillId="0" borderId="13" xfId="74" applyNumberFormat="1" applyFont="1" applyBorder="1" applyAlignment="1">
      <alignment vertical="center" wrapText="1"/>
    </xf>
    <xf numFmtId="186" fontId="59" fillId="0" borderId="0" xfId="55" applyNumberFormat="1" applyFont="1" applyFill="1" applyAlignment="1">
      <alignment vertical="center" wrapText="1"/>
    </xf>
    <xf numFmtId="0" fontId="59" fillId="0" borderId="0" xfId="0" applyFont="1" applyAlignment="1">
      <alignment vertical="center" wrapText="1"/>
    </xf>
    <xf numFmtId="186" fontId="62" fillId="0" borderId="0" xfId="55" applyNumberFormat="1" applyFont="1" applyFill="1" applyAlignment="1">
      <alignment vertical="center" wrapText="1"/>
    </xf>
    <xf numFmtId="0" fontId="62" fillId="0" borderId="0" xfId="0" applyFont="1" applyAlignment="1">
      <alignment vertical="center" wrapText="1"/>
    </xf>
    <xf numFmtId="186" fontId="59" fillId="0" borderId="0" xfId="55" applyNumberFormat="1" applyFont="1" applyFill="1" applyAlignment="1">
      <alignment horizontal="center" vertical="center" wrapText="1"/>
    </xf>
    <xf numFmtId="3" fontId="59" fillId="0" borderId="0" xfId="0" applyNumberFormat="1" applyFont="1" applyAlignment="1">
      <alignment vertical="center" wrapText="1"/>
    </xf>
    <xf numFmtId="186" fontId="60" fillId="0" borderId="0" xfId="55" applyNumberFormat="1" applyFont="1" applyFill="1" applyAlignment="1">
      <alignment vertical="center" wrapText="1"/>
    </xf>
    <xf numFmtId="0" fontId="60" fillId="0" borderId="0" xfId="0" applyFont="1" applyAlignment="1">
      <alignment vertical="center" wrapText="1"/>
    </xf>
    <xf numFmtId="43" fontId="59" fillId="0" borderId="0" xfId="0" applyNumberFormat="1" applyFont="1" applyAlignment="1">
      <alignment vertical="center" wrapText="1"/>
    </xf>
    <xf numFmtId="43" fontId="59" fillId="0" borderId="0" xfId="55" applyFont="1" applyFill="1" applyAlignment="1">
      <alignment vertical="center" wrapText="1"/>
    </xf>
    <xf numFmtId="186" fontId="64" fillId="0" borderId="0" xfId="55" applyNumberFormat="1" applyFont="1" applyFill="1" applyAlignment="1">
      <alignment vertical="center" wrapText="1"/>
    </xf>
    <xf numFmtId="0" fontId="64" fillId="0" borderId="0" xfId="0" applyFont="1" applyAlignment="1">
      <alignment vertical="center" wrapText="1"/>
    </xf>
    <xf numFmtId="0" fontId="46" fillId="0" borderId="11" xfId="74" applyFont="1" applyBorder="1" applyAlignment="1">
      <alignment vertical="center" wrapText="1"/>
    </xf>
    <xf numFmtId="186" fontId="46" fillId="0" borderId="0" xfId="55" applyNumberFormat="1" applyFont="1" applyFill="1" applyAlignment="1">
      <alignment vertical="center" wrapText="1"/>
    </xf>
    <xf numFmtId="0" fontId="46" fillId="0" borderId="0" xfId="0" applyFont="1" applyAlignment="1">
      <alignment vertical="center" wrapText="1"/>
    </xf>
    <xf numFmtId="0" fontId="47" fillId="0" borderId="0" xfId="74" applyFont="1" applyAlignment="1">
      <alignment vertical="center" wrapText="1"/>
    </xf>
    <xf numFmtId="0" fontId="61" fillId="0" borderId="0" xfId="74" applyFont="1" applyAlignment="1">
      <alignment vertical="center" wrapText="1"/>
    </xf>
    <xf numFmtId="168" fontId="59" fillId="0" borderId="0" xfId="0" applyNumberFormat="1" applyFont="1" applyAlignment="1">
      <alignment vertical="center" wrapText="1"/>
    </xf>
    <xf numFmtId="43" fontId="50" fillId="0" borderId="0" xfId="55" applyFont="1" applyFill="1" applyAlignment="1">
      <alignment vertical="center" wrapText="1"/>
    </xf>
    <xf numFmtId="43" fontId="65" fillId="0" borderId="0" xfId="55" applyFont="1" applyFill="1" applyAlignment="1">
      <alignment vertical="center" wrapText="1"/>
    </xf>
    <xf numFmtId="186" fontId="49" fillId="0" borderId="22" xfId="55" applyNumberFormat="1" applyFont="1" applyFill="1" applyBorder="1" applyAlignment="1">
      <alignment horizontal="right" vertical="center" wrapText="1"/>
    </xf>
    <xf numFmtId="186" fontId="47" fillId="0" borderId="22" xfId="55" applyNumberFormat="1" applyFont="1" applyFill="1" applyBorder="1" applyAlignment="1">
      <alignment horizontal="right" vertical="center" wrapText="1"/>
    </xf>
    <xf numFmtId="0" fontId="43" fillId="0" borderId="16" xfId="74" applyFont="1" applyBorder="1" applyAlignment="1">
      <alignment vertical="center" wrapText="1"/>
    </xf>
    <xf numFmtId="186" fontId="26" fillId="0" borderId="0" xfId="55" applyNumberFormat="1" applyFont="1" applyFill="1" applyAlignment="1">
      <alignment vertical="center" wrapText="1"/>
    </xf>
    <xf numFmtId="0" fontId="26" fillId="0" borderId="0" xfId="0" applyFont="1" applyAlignment="1">
      <alignment vertical="center" wrapText="1"/>
    </xf>
    <xf numFmtId="186" fontId="47" fillId="0" borderId="11" xfId="55" applyNumberFormat="1" applyFont="1" applyFill="1" applyBorder="1" applyAlignment="1">
      <alignment vertical="center" wrapText="1"/>
    </xf>
    <xf numFmtId="185" fontId="49" fillId="0" borderId="13" xfId="55" applyNumberFormat="1" applyFont="1" applyFill="1" applyBorder="1" applyAlignment="1">
      <alignment vertical="center" wrapText="1"/>
    </xf>
    <xf numFmtId="185" fontId="49" fillId="0" borderId="12" xfId="55" applyNumberFormat="1" applyFont="1" applyFill="1" applyBorder="1" applyAlignment="1">
      <alignment vertical="center" wrapText="1"/>
    </xf>
    <xf numFmtId="185" fontId="49" fillId="0" borderId="16" xfId="55" applyNumberFormat="1" applyFont="1" applyFill="1" applyBorder="1" applyAlignment="1">
      <alignment vertical="center" wrapText="1"/>
    </xf>
    <xf numFmtId="185" fontId="49" fillId="0" borderId="19" xfId="55" applyNumberFormat="1" applyFont="1" applyFill="1" applyBorder="1" applyAlignment="1">
      <alignment vertical="center" wrapText="1"/>
    </xf>
    <xf numFmtId="185" fontId="47" fillId="0" borderId="22" xfId="55" applyNumberFormat="1" applyFont="1" applyFill="1" applyBorder="1" applyAlignment="1">
      <alignment vertical="center" wrapText="1"/>
    </xf>
    <xf numFmtId="185" fontId="49" fillId="0" borderId="22" xfId="55" applyNumberFormat="1" applyFont="1" applyFill="1" applyBorder="1" applyAlignment="1">
      <alignment vertical="center" wrapText="1"/>
    </xf>
    <xf numFmtId="186" fontId="46" fillId="0" borderId="19" xfId="55" applyNumberFormat="1" applyFont="1" applyFill="1" applyBorder="1" applyAlignment="1">
      <alignment vertical="center" wrapText="1"/>
    </xf>
    <xf numFmtId="185" fontId="46" fillId="0" borderId="12" xfId="55" applyNumberFormat="1" applyFont="1" applyFill="1" applyBorder="1" applyAlignment="1">
      <alignment vertical="center" wrapText="1"/>
    </xf>
    <xf numFmtId="185" fontId="47" fillId="0" borderId="12" xfId="55" applyNumberFormat="1" applyFont="1" applyFill="1" applyBorder="1" applyAlignment="1">
      <alignment vertical="center" wrapText="1"/>
    </xf>
    <xf numFmtId="186" fontId="46" fillId="0" borderId="12" xfId="55" applyNumberFormat="1" applyFont="1" applyFill="1" applyBorder="1" applyAlignment="1">
      <alignment vertical="center" wrapText="1"/>
    </xf>
    <xf numFmtId="0" fontId="43" fillId="0" borderId="22" xfId="74" applyFont="1" applyBorder="1" applyAlignment="1">
      <alignment vertical="center" wrapText="1"/>
    </xf>
    <xf numFmtId="3" fontId="43" fillId="0" borderId="22" xfId="74" applyNumberFormat="1" applyFont="1" applyBorder="1" applyAlignment="1">
      <alignment vertical="center" wrapText="1"/>
    </xf>
    <xf numFmtId="183" fontId="43" fillId="0" borderId="22" xfId="74" applyNumberFormat="1" applyFont="1" applyBorder="1" applyAlignment="1">
      <alignment vertical="center" wrapText="1"/>
    </xf>
    <xf numFmtId="0" fontId="2" fillId="0" borderId="0" xfId="0" applyFont="1" applyFill="1" applyAlignment="1">
      <alignment vertical="center" wrapText="1"/>
    </xf>
    <xf numFmtId="0" fontId="47" fillId="0" borderId="0" xfId="0" applyFont="1" applyFill="1" applyAlignment="1">
      <alignment vertical="center" wrapText="1"/>
    </xf>
    <xf numFmtId="0" fontId="56" fillId="0" borderId="0" xfId="0" applyFont="1" applyFill="1" applyAlignment="1">
      <alignment vertical="center" wrapText="1"/>
    </xf>
    <xf numFmtId="186" fontId="47" fillId="0" borderId="0" xfId="0" applyNumberFormat="1" applyFont="1" applyFill="1" applyAlignment="1">
      <alignment vertical="center" wrapText="1"/>
    </xf>
    <xf numFmtId="0" fontId="46" fillId="0" borderId="18" xfId="0" applyFont="1" applyFill="1" applyBorder="1" applyAlignment="1">
      <alignment horizontal="center" vertical="center" wrapText="1"/>
    </xf>
    <xf numFmtId="0" fontId="46" fillId="0" borderId="11" xfId="0" applyFont="1" applyFill="1" applyBorder="1" applyAlignment="1">
      <alignment horizontal="center" vertical="center" wrapText="1"/>
    </xf>
    <xf numFmtId="186" fontId="50" fillId="0" borderId="0" xfId="0" applyNumberFormat="1" applyFont="1" applyFill="1" applyAlignment="1">
      <alignment vertical="center" wrapText="1"/>
    </xf>
    <xf numFmtId="0" fontId="50" fillId="0" borderId="0" xfId="0" applyFont="1" applyFill="1" applyAlignment="1">
      <alignment vertical="center" wrapText="1"/>
    </xf>
    <xf numFmtId="186" fontId="51" fillId="0" borderId="0" xfId="0" applyNumberFormat="1" applyFont="1" applyFill="1" applyAlignment="1">
      <alignment vertical="center" wrapText="1"/>
    </xf>
    <xf numFmtId="0" fontId="51" fillId="0" borderId="0" xfId="0" applyFont="1" applyFill="1" applyAlignment="1">
      <alignment vertical="center" wrapText="1"/>
    </xf>
    <xf numFmtId="0" fontId="46" fillId="0" borderId="11" xfId="0" applyFont="1" applyFill="1" applyBorder="1" applyAlignment="1">
      <alignment horizontal="left" vertical="center" wrapText="1"/>
    </xf>
    <xf numFmtId="0" fontId="46" fillId="0" borderId="11" xfId="0" applyFont="1" applyFill="1" applyBorder="1" applyAlignment="1">
      <alignment vertical="center" wrapText="1"/>
    </xf>
    <xf numFmtId="0" fontId="47" fillId="0" borderId="11" xfId="0" applyFont="1" applyFill="1" applyBorder="1" applyAlignment="1">
      <alignment horizontal="center" vertical="center" wrapText="1"/>
    </xf>
    <xf numFmtId="0" fontId="47" fillId="0" borderId="11" xfId="0" applyFont="1" applyFill="1" applyBorder="1" applyAlignment="1">
      <alignment vertical="center" wrapText="1"/>
    </xf>
    <xf numFmtId="0" fontId="49" fillId="0" borderId="13" xfId="0" applyFont="1" applyFill="1" applyBorder="1" applyAlignment="1">
      <alignment horizontal="center" vertical="center" wrapText="1"/>
    </xf>
    <xf numFmtId="0" fontId="49" fillId="0" borderId="13" xfId="0" applyFont="1" applyFill="1" applyBorder="1" applyAlignment="1">
      <alignment vertical="center" wrapText="1"/>
    </xf>
    <xf numFmtId="186" fontId="52" fillId="0" borderId="0" xfId="0" applyNumberFormat="1" applyFont="1" applyFill="1" applyAlignment="1">
      <alignment vertical="center" wrapText="1"/>
    </xf>
    <xf numFmtId="0" fontId="52" fillId="0" borderId="0" xfId="0" applyFont="1" applyFill="1" applyAlignment="1">
      <alignment vertical="center" wrapText="1"/>
    </xf>
    <xf numFmtId="0" fontId="49" fillId="0" borderId="12" xfId="0" applyFont="1" applyFill="1" applyBorder="1" applyAlignment="1">
      <alignment vertical="center" wrapText="1"/>
    </xf>
    <xf numFmtId="0" fontId="49" fillId="0" borderId="12" xfId="0" applyFont="1" applyFill="1" applyBorder="1" applyAlignment="1">
      <alignment horizontal="center" vertical="center" wrapText="1"/>
    </xf>
    <xf numFmtId="0" fontId="49" fillId="0" borderId="0" xfId="0" applyFont="1" applyFill="1" applyAlignment="1">
      <alignment vertical="center" wrapText="1"/>
    </xf>
    <xf numFmtId="0" fontId="49" fillId="0" borderId="16" xfId="0" applyFont="1" applyFill="1" applyBorder="1" applyAlignment="1">
      <alignment horizontal="center" vertical="center" wrapText="1"/>
    </xf>
    <xf numFmtId="0" fontId="49" fillId="0" borderId="16" xfId="0" applyFont="1" applyFill="1" applyBorder="1" applyAlignment="1">
      <alignment vertical="center" wrapText="1"/>
    </xf>
    <xf numFmtId="0" fontId="49" fillId="0" borderId="19" xfId="0" applyFont="1" applyFill="1" applyBorder="1" applyAlignment="1">
      <alignment horizontal="center" vertical="center" wrapText="1"/>
    </xf>
    <xf numFmtId="0" fontId="49" fillId="0" borderId="19" xfId="0" applyFont="1" applyFill="1" applyBorder="1" applyAlignment="1">
      <alignment vertical="center" wrapText="1"/>
    </xf>
    <xf numFmtId="0" fontId="47" fillId="0" borderId="22" xfId="0" applyFont="1" applyFill="1" applyBorder="1" applyAlignment="1">
      <alignment horizontal="center" vertical="center" wrapText="1"/>
    </xf>
    <xf numFmtId="0" fontId="47" fillId="0" borderId="22" xfId="0" applyFont="1" applyFill="1" applyBorder="1" applyAlignment="1">
      <alignment vertical="center" wrapText="1"/>
    </xf>
    <xf numFmtId="0" fontId="49" fillId="0" borderId="22" xfId="0" applyFont="1" applyFill="1" applyBorder="1" applyAlignment="1">
      <alignment horizontal="center" vertical="center" wrapText="1"/>
    </xf>
    <xf numFmtId="0" fontId="49" fillId="0" borderId="22" xfId="0" applyFont="1" applyFill="1" applyBorder="1" applyAlignment="1">
      <alignment vertical="center" wrapText="1"/>
    </xf>
    <xf numFmtId="0" fontId="46" fillId="0" borderId="19" xfId="0" applyFont="1" applyFill="1" applyBorder="1" applyAlignment="1">
      <alignment horizontal="center" vertical="center" wrapText="1"/>
    </xf>
    <xf numFmtId="0" fontId="46" fillId="0" borderId="19" xfId="0" applyFont="1" applyFill="1" applyBorder="1" applyAlignment="1">
      <alignment vertical="center" wrapText="1"/>
    </xf>
    <xf numFmtId="0" fontId="47" fillId="0" borderId="12" xfId="0" applyFont="1" applyFill="1" applyBorder="1" applyAlignment="1">
      <alignment horizontal="center" vertical="center" wrapText="1"/>
    </xf>
    <xf numFmtId="0" fontId="47" fillId="0" borderId="12" xfId="0" applyFont="1" applyFill="1" applyBorder="1" applyAlignment="1">
      <alignment vertical="center" wrapText="1"/>
    </xf>
    <xf numFmtId="0" fontId="49" fillId="0" borderId="12" xfId="0" quotePrefix="1" applyFont="1" applyFill="1" applyBorder="1" applyAlignment="1">
      <alignment vertical="center" wrapText="1"/>
    </xf>
    <xf numFmtId="185" fontId="49" fillId="0" borderId="12" xfId="0" applyNumberFormat="1" applyFont="1" applyFill="1" applyBorder="1" applyAlignment="1">
      <alignment vertical="center" wrapText="1"/>
    </xf>
    <xf numFmtId="0" fontId="47" fillId="0" borderId="12" xfId="0" quotePrefix="1" applyFont="1" applyFill="1" applyBorder="1" applyAlignment="1">
      <alignment vertical="center" wrapText="1"/>
    </xf>
    <xf numFmtId="185" fontId="47" fillId="0" borderId="12" xfId="0" applyNumberFormat="1" applyFont="1" applyFill="1" applyBorder="1" applyAlignment="1">
      <alignment vertical="center" wrapText="1"/>
    </xf>
    <xf numFmtId="0" fontId="46" fillId="0" borderId="12" xfId="0" applyFont="1" applyFill="1" applyBorder="1" applyAlignment="1">
      <alignment horizontal="center" vertical="center" wrapText="1"/>
    </xf>
    <xf numFmtId="0" fontId="46" fillId="0" borderId="12" xfId="0" applyFont="1" applyFill="1" applyBorder="1" applyAlignment="1">
      <alignment vertical="center" wrapText="1"/>
    </xf>
    <xf numFmtId="188" fontId="80" fillId="0" borderId="0" xfId="0" applyNumberFormat="1" applyFont="1" applyFill="1" applyAlignment="1">
      <alignment vertical="center" wrapText="1"/>
    </xf>
    <xf numFmtId="0" fontId="80" fillId="0" borderId="0" xfId="0" applyFont="1" applyFill="1" applyAlignment="1">
      <alignment vertical="center" wrapText="1"/>
    </xf>
    <xf numFmtId="0" fontId="43" fillId="0" borderId="12" xfId="0" applyFont="1" applyFill="1" applyBorder="1" applyAlignment="1">
      <alignment horizontal="center" vertical="center" wrapText="1"/>
    </xf>
    <xf numFmtId="0" fontId="43" fillId="0" borderId="12" xfId="0" applyFont="1" applyFill="1" applyBorder="1" applyAlignment="1">
      <alignment vertical="center" wrapText="1"/>
    </xf>
    <xf numFmtId="0" fontId="65" fillId="0" borderId="0" xfId="0" applyFont="1" applyFill="1" applyAlignment="1">
      <alignment vertical="center" wrapText="1"/>
    </xf>
    <xf numFmtId="0" fontId="43" fillId="0" borderId="12" xfId="0" quotePrefix="1" applyFont="1" applyFill="1" applyBorder="1" applyAlignment="1">
      <alignment vertical="center" wrapText="1"/>
    </xf>
    <xf numFmtId="186" fontId="65" fillId="0" borderId="0" xfId="0" applyNumberFormat="1" applyFont="1" applyFill="1" applyAlignment="1">
      <alignment vertical="center" wrapText="1"/>
    </xf>
    <xf numFmtId="0" fontId="43" fillId="0" borderId="12" xfId="0" applyFont="1" applyFill="1" applyBorder="1" applyAlignment="1">
      <alignment horizontal="left" vertical="center" wrapText="1"/>
    </xf>
    <xf numFmtId="0" fontId="49" fillId="0" borderId="12" xfId="0" quotePrefix="1" applyFont="1" applyFill="1" applyBorder="1" applyAlignment="1">
      <alignment horizontal="left" vertical="center" wrapText="1"/>
    </xf>
    <xf numFmtId="0" fontId="48" fillId="0" borderId="12" xfId="0" applyFont="1" applyFill="1" applyBorder="1" applyAlignment="1">
      <alignment horizontal="center" vertical="center" wrapText="1"/>
    </xf>
    <xf numFmtId="0" fontId="52" fillId="0" borderId="12" xfId="73" quotePrefix="1" applyFont="1" applyFill="1" applyBorder="1" applyAlignment="1">
      <alignment horizontal="left" vertical="center" wrapText="1"/>
    </xf>
    <xf numFmtId="0" fontId="63" fillId="0" borderId="0" xfId="0" applyFont="1" applyFill="1" applyAlignment="1">
      <alignment vertical="center" wrapText="1"/>
    </xf>
    <xf numFmtId="185" fontId="57" fillId="0" borderId="12" xfId="0" applyNumberFormat="1" applyFont="1" applyFill="1" applyBorder="1" applyAlignment="1">
      <alignment vertical="center" wrapText="1"/>
    </xf>
    <xf numFmtId="185" fontId="53" fillId="0" borderId="12" xfId="0" applyNumberFormat="1" applyFont="1" applyFill="1" applyBorder="1" applyAlignment="1">
      <alignment vertical="center" wrapText="1"/>
    </xf>
    <xf numFmtId="168" fontId="50" fillId="0" borderId="0" xfId="0" applyNumberFormat="1" applyFont="1" applyFill="1" applyAlignment="1">
      <alignment vertical="center" wrapText="1"/>
    </xf>
    <xf numFmtId="0" fontId="47" fillId="0" borderId="14" xfId="0" quotePrefix="1" applyFont="1" applyFill="1" applyBorder="1" applyAlignment="1">
      <alignment vertical="center" wrapText="1"/>
    </xf>
    <xf numFmtId="185" fontId="57" fillId="0" borderId="14" xfId="0" applyNumberFormat="1" applyFont="1" applyFill="1" applyBorder="1" applyAlignment="1">
      <alignment vertical="center" wrapText="1"/>
    </xf>
    <xf numFmtId="0" fontId="47" fillId="0" borderId="16" xfId="0" applyFont="1" applyFill="1" applyBorder="1" applyAlignment="1">
      <alignment horizontal="center" vertical="center" wrapText="1"/>
    </xf>
    <xf numFmtId="0" fontId="47" fillId="0" borderId="16" xfId="0" applyFont="1" applyFill="1" applyBorder="1" applyAlignment="1">
      <alignment vertical="center" wrapText="1"/>
    </xf>
    <xf numFmtId="185" fontId="47" fillId="0" borderId="16" xfId="0" applyNumberFormat="1" applyFont="1" applyFill="1" applyBorder="1" applyAlignment="1">
      <alignment vertical="center" wrapText="1"/>
    </xf>
    <xf numFmtId="0" fontId="45" fillId="0" borderId="11" xfId="0" applyFont="1" applyFill="1" applyBorder="1" applyAlignment="1">
      <alignment vertical="center" wrapText="1"/>
    </xf>
    <xf numFmtId="185" fontId="45" fillId="0" borderId="11" xfId="0" applyNumberFormat="1" applyFont="1" applyFill="1" applyBorder="1" applyAlignment="1">
      <alignment vertical="center" wrapText="1"/>
    </xf>
    <xf numFmtId="186" fontId="50" fillId="0" borderId="11" xfId="55" applyNumberFormat="1" applyFont="1" applyFill="1" applyBorder="1" applyAlignment="1">
      <alignment horizontal="right" vertical="center" wrapText="1"/>
    </xf>
    <xf numFmtId="185" fontId="47" fillId="0" borderId="11" xfId="0" applyNumberFormat="1" applyFont="1" applyFill="1" applyBorder="1" applyAlignment="1">
      <alignment vertical="center" wrapText="1"/>
    </xf>
    <xf numFmtId="0" fontId="46" fillId="0" borderId="22" xfId="0" applyFont="1" applyFill="1" applyBorder="1" applyAlignment="1">
      <alignment horizontal="center" vertical="center" wrapText="1"/>
    </xf>
    <xf numFmtId="0" fontId="47" fillId="0" borderId="19" xfId="0" applyFont="1" applyFill="1" applyBorder="1" applyAlignment="1">
      <alignment horizontal="center" vertical="center" wrapText="1"/>
    </xf>
    <xf numFmtId="0" fontId="47" fillId="0" borderId="19" xfId="74" applyFont="1" applyFill="1" applyBorder="1" applyAlignment="1">
      <alignment vertical="center" wrapText="1"/>
    </xf>
    <xf numFmtId="3" fontId="47" fillId="0" borderId="19" xfId="74" applyNumberFormat="1" applyFont="1" applyFill="1" applyBorder="1" applyAlignment="1">
      <alignment vertical="center" wrapText="1"/>
    </xf>
    <xf numFmtId="185" fontId="47" fillId="0" borderId="19" xfId="0" applyNumberFormat="1" applyFont="1" applyFill="1" applyBorder="1" applyAlignment="1">
      <alignment vertical="center" wrapText="1"/>
    </xf>
    <xf numFmtId="0" fontId="47" fillId="0" borderId="12" xfId="74" applyFont="1" applyFill="1" applyBorder="1" applyAlignment="1">
      <alignment vertical="center" wrapText="1"/>
    </xf>
    <xf numFmtId="3" fontId="47" fillId="0" borderId="12" xfId="74" applyNumberFormat="1" applyFont="1" applyFill="1" applyBorder="1" applyAlignment="1">
      <alignment vertical="center" wrapText="1"/>
    </xf>
    <xf numFmtId="0" fontId="47" fillId="0" borderId="16" xfId="74" applyFont="1" applyFill="1" applyBorder="1" applyAlignment="1">
      <alignment vertical="center" wrapText="1"/>
    </xf>
    <xf numFmtId="3" fontId="47" fillId="0" borderId="16" xfId="74" applyNumberFormat="1" applyFont="1" applyFill="1" applyBorder="1" applyAlignment="1">
      <alignment vertical="center" wrapText="1"/>
    </xf>
    <xf numFmtId="185" fontId="46" fillId="0" borderId="11" xfId="0" applyNumberFormat="1" applyFont="1" applyFill="1" applyBorder="1" applyAlignment="1">
      <alignment vertical="center" wrapText="1"/>
    </xf>
    <xf numFmtId="0" fontId="68" fillId="0" borderId="0" xfId="0" applyFont="1" applyFill="1" applyAlignment="1">
      <alignment vertical="center" wrapText="1"/>
    </xf>
    <xf numFmtId="43" fontId="66" fillId="0" borderId="0" xfId="55" applyFont="1" applyFill="1" applyAlignment="1">
      <alignment vertical="center" wrapText="1"/>
    </xf>
    <xf numFmtId="0" fontId="66" fillId="0" borderId="0" xfId="0" applyFont="1" applyFill="1" applyAlignment="1">
      <alignment vertical="center" wrapText="1"/>
    </xf>
    <xf numFmtId="0" fontId="59" fillId="0" borderId="0" xfId="0" applyFont="1" applyFill="1" applyAlignment="1">
      <alignment vertical="center" wrapText="1"/>
    </xf>
    <xf numFmtId="186" fontId="68" fillId="0" borderId="0" xfId="0" applyNumberFormat="1" applyFont="1" applyFill="1" applyAlignment="1">
      <alignment vertical="center" wrapText="1"/>
    </xf>
    <xf numFmtId="0" fontId="47" fillId="0" borderId="19" xfId="0" quotePrefix="1" applyFont="1" applyBorder="1" applyAlignment="1">
      <alignment vertical="center" wrapText="1"/>
    </xf>
    <xf numFmtId="186" fontId="61" fillId="0" borderId="19" xfId="55" applyNumberFormat="1" applyFont="1" applyFill="1" applyBorder="1" applyAlignment="1">
      <alignment vertical="center" wrapText="1"/>
    </xf>
    <xf numFmtId="186" fontId="50" fillId="0" borderId="19" xfId="55" applyNumberFormat="1" applyFont="1" applyFill="1" applyBorder="1" applyAlignment="1">
      <alignment horizontal="right" vertical="center" wrapText="1"/>
    </xf>
    <xf numFmtId="0" fontId="61" fillId="0" borderId="19" xfId="0" applyFont="1" applyFill="1" applyBorder="1" applyAlignment="1">
      <alignment vertical="center" wrapText="1"/>
    </xf>
    <xf numFmtId="186" fontId="61" fillId="0" borderId="12" xfId="55" applyNumberFormat="1" applyFont="1" applyFill="1" applyBorder="1" applyAlignment="1">
      <alignment vertical="center" wrapText="1"/>
    </xf>
    <xf numFmtId="186" fontId="50" fillId="0" borderId="12" xfId="55" applyNumberFormat="1" applyFont="1" applyFill="1" applyBorder="1" applyAlignment="1">
      <alignment horizontal="right" vertical="center" wrapText="1"/>
    </xf>
    <xf numFmtId="0" fontId="61" fillId="0" borderId="12" xfId="0" applyFont="1" applyFill="1" applyBorder="1" applyAlignment="1">
      <alignment vertical="center" wrapText="1"/>
    </xf>
    <xf numFmtId="186" fontId="66" fillId="0" borderId="12" xfId="55" applyNumberFormat="1" applyFont="1" applyFill="1" applyBorder="1" applyAlignment="1">
      <alignment vertical="center" wrapText="1"/>
    </xf>
    <xf numFmtId="0" fontId="47" fillId="0" borderId="16" xfId="0" quotePrefix="1" applyFont="1" applyBorder="1" applyAlignment="1">
      <alignment vertical="center" wrapText="1"/>
    </xf>
    <xf numFmtId="186" fontId="2" fillId="0" borderId="16" xfId="55" applyNumberFormat="1" applyFont="1" applyFill="1" applyBorder="1" applyAlignment="1">
      <alignment vertical="center" wrapText="1"/>
    </xf>
    <xf numFmtId="3" fontId="50" fillId="0" borderId="16" xfId="103" applyNumberFormat="1" applyFont="1" applyBorder="1" applyAlignment="1">
      <alignment horizontal="right" vertical="center" wrapText="1"/>
    </xf>
    <xf numFmtId="0" fontId="59" fillId="0" borderId="16" xfId="0" applyFont="1" applyFill="1" applyBorder="1" applyAlignment="1">
      <alignment vertical="center" wrapText="1"/>
    </xf>
    <xf numFmtId="4" fontId="45" fillId="0" borderId="18" xfId="74" applyNumberFormat="1" applyFont="1" applyBorder="1" applyAlignment="1">
      <alignment vertical="center" wrapText="1"/>
    </xf>
    <xf numFmtId="4" fontId="45" fillId="0" borderId="11" xfId="74" applyNumberFormat="1" applyFont="1" applyBorder="1" applyAlignment="1">
      <alignment vertical="center" wrapText="1"/>
    </xf>
    <xf numFmtId="4" fontId="43" fillId="0" borderId="13" xfId="74" applyNumberFormat="1" applyFont="1" applyBorder="1" applyAlignment="1">
      <alignment vertical="center" wrapText="1"/>
    </xf>
    <xf numFmtId="43" fontId="59" fillId="0" borderId="0" xfId="55" applyNumberFormat="1" applyFont="1" applyFill="1" applyAlignment="1">
      <alignment vertical="center" wrapText="1"/>
    </xf>
    <xf numFmtId="4" fontId="51" fillId="0" borderId="0" xfId="0" applyNumberFormat="1" applyFont="1" applyFill="1" applyAlignment="1">
      <alignment vertical="center" wrapText="1"/>
    </xf>
    <xf numFmtId="0" fontId="2" fillId="0" borderId="0" xfId="0" applyFont="1" applyFill="1" applyAlignment="1">
      <alignment horizontal="center" vertical="center" wrapText="1"/>
    </xf>
    <xf numFmtId="0" fontId="47" fillId="0" borderId="0" xfId="0" applyFont="1" applyFill="1" applyAlignment="1">
      <alignment horizontal="center" vertical="center" wrapText="1"/>
    </xf>
    <xf numFmtId="186" fontId="0" fillId="0" borderId="0" xfId="55" applyNumberFormat="1" applyFont="1"/>
    <xf numFmtId="0" fontId="46" fillId="0" borderId="0" xfId="74" applyFont="1" applyAlignment="1">
      <alignment horizontal="right" vertical="center" wrapText="1"/>
    </xf>
    <xf numFmtId="0" fontId="44" fillId="0" borderId="0" xfId="74" applyFont="1" applyAlignment="1">
      <alignment horizontal="center" vertical="center" wrapText="1"/>
    </xf>
    <xf numFmtId="0" fontId="46" fillId="0" borderId="0" xfId="74" applyFont="1" applyAlignment="1">
      <alignment horizontal="center" vertical="center" wrapText="1"/>
    </xf>
    <xf numFmtId="0" fontId="49" fillId="0" borderId="17" xfId="74" applyFont="1" applyBorder="1" applyAlignment="1">
      <alignment horizontal="right" vertical="center" wrapText="1"/>
    </xf>
    <xf numFmtId="0" fontId="46" fillId="0" borderId="0" xfId="0" applyFont="1" applyAlignment="1">
      <alignment horizontal="right" vertical="center" wrapText="1"/>
    </xf>
    <xf numFmtId="184" fontId="70" fillId="0" borderId="0" xfId="0" applyNumberFormat="1" applyFont="1" applyAlignment="1">
      <alignment horizontal="center" vertical="center" wrapText="1"/>
    </xf>
    <xf numFmtId="184" fontId="65" fillId="0" borderId="0" xfId="0" applyNumberFormat="1" applyFont="1" applyAlignment="1">
      <alignment horizontal="center" vertical="center" wrapText="1"/>
    </xf>
    <xf numFmtId="0" fontId="49" fillId="0" borderId="17" xfId="0" applyFont="1" applyBorder="1" applyAlignment="1">
      <alignment horizontal="right" vertical="center" wrapText="1"/>
    </xf>
    <xf numFmtId="0" fontId="46" fillId="0" borderId="9" xfId="0" applyFont="1" applyBorder="1" applyAlignment="1">
      <alignment horizontal="center" vertical="center" wrapText="1"/>
    </xf>
    <xf numFmtId="0" fontId="46" fillId="0" borderId="20" xfId="0" applyFont="1" applyBorder="1" applyAlignment="1">
      <alignment horizontal="center" vertical="center" wrapText="1"/>
    </xf>
    <xf numFmtId="187" fontId="59" fillId="0" borderId="21" xfId="0" applyNumberFormat="1" applyFont="1" applyBorder="1" applyAlignment="1">
      <alignment horizontal="center" vertical="center" wrapText="1"/>
    </xf>
    <xf numFmtId="187" fontId="59" fillId="0" borderId="0" xfId="0" applyNumberFormat="1" applyFont="1" applyAlignment="1">
      <alignment horizontal="center" vertical="center" wrapText="1"/>
    </xf>
    <xf numFmtId="0" fontId="45" fillId="0" borderId="0" xfId="74" applyFont="1" applyAlignment="1">
      <alignment horizontal="center" vertical="center" wrapText="1"/>
    </xf>
    <xf numFmtId="0" fontId="46" fillId="0" borderId="0" xfId="0" applyFont="1" applyFill="1" applyAlignment="1">
      <alignment horizontal="right" vertical="center" wrapText="1"/>
    </xf>
    <xf numFmtId="184" fontId="70" fillId="0" borderId="0" xfId="0" applyNumberFormat="1" applyFont="1" applyFill="1" applyAlignment="1">
      <alignment horizontal="center" vertical="center" wrapText="1"/>
    </xf>
    <xf numFmtId="0" fontId="49" fillId="0" borderId="17" xfId="0" applyFont="1" applyFill="1" applyBorder="1" applyAlignment="1">
      <alignment horizontal="right" vertical="center" wrapText="1"/>
    </xf>
    <xf numFmtId="0" fontId="46" fillId="0" borderId="9" xfId="0" applyFont="1" applyFill="1" applyBorder="1" applyAlignment="1">
      <alignment horizontal="center" vertical="center" wrapText="1"/>
    </xf>
    <xf numFmtId="0" fontId="46" fillId="0" borderId="20" xfId="0" applyFont="1" applyFill="1" applyBorder="1" applyAlignment="1">
      <alignment horizontal="center" vertical="center" wrapText="1"/>
    </xf>
    <xf numFmtId="184" fontId="51" fillId="0" borderId="0" xfId="0" applyNumberFormat="1" applyFont="1" applyFill="1" applyAlignment="1">
      <alignment horizontal="center" vertical="center" wrapText="1"/>
    </xf>
    <xf numFmtId="0" fontId="59" fillId="0" borderId="0" xfId="0" applyFont="1" applyAlignment="1">
      <alignment horizontal="center" vertical="center" wrapText="1"/>
    </xf>
    <xf numFmtId="0" fontId="26" fillId="0" borderId="0" xfId="0" applyFont="1" applyAlignment="1">
      <alignment horizontal="center"/>
    </xf>
    <xf numFmtId="189" fontId="45" fillId="0" borderId="0" xfId="74" applyNumberFormat="1" applyFont="1" applyBorder="1" applyAlignment="1">
      <alignment vertical="center" wrapText="1"/>
    </xf>
    <xf numFmtId="186" fontId="59" fillId="0" borderId="0" xfId="55" applyNumberFormat="1" applyFont="1" applyFill="1" applyBorder="1" applyAlignment="1">
      <alignment vertical="center" wrapText="1"/>
    </xf>
    <xf numFmtId="4" fontId="43" fillId="0" borderId="0" xfId="74" applyNumberFormat="1" applyFont="1" applyBorder="1" applyAlignment="1">
      <alignment vertical="center" wrapText="1"/>
    </xf>
    <xf numFmtId="3" fontId="45" fillId="0" borderId="0" xfId="74" applyNumberFormat="1" applyFont="1" applyBorder="1" applyAlignment="1">
      <alignment vertical="center" wrapText="1"/>
    </xf>
  </cellXfs>
  <cellStyles count="104">
    <cellStyle name="??" xfId="1"/>
    <cellStyle name="?? [0.00]_PRODUCT DETAIL Q1" xfId="2"/>
    <cellStyle name="?? [0]" xfId="3"/>
    <cellStyle name="???? [0.00]_PRODUCT DETAIL Q1" xfId="4"/>
    <cellStyle name="????_PRODUCT DETAIL Q1" xfId="5"/>
    <cellStyle name="???[0]_Book1" xfId="6"/>
    <cellStyle name="???_???" xfId="7"/>
    <cellStyle name="??_(????)??????" xfId="8"/>
    <cellStyle name="1" xfId="9"/>
    <cellStyle name="2" xfId="10"/>
    <cellStyle name="20% - Accent1" xfId="11" builtinId="30" customBuiltin="1"/>
    <cellStyle name="20% - Accent2" xfId="12" builtinId="34" customBuiltin="1"/>
    <cellStyle name="20% - Accent3" xfId="13" builtinId="38" customBuiltin="1"/>
    <cellStyle name="20% - Accent4" xfId="14" builtinId="42" customBuiltin="1"/>
    <cellStyle name="20% - Accent5" xfId="15" builtinId="46" customBuiltin="1"/>
    <cellStyle name="20% - Accent6" xfId="16" builtinId="50" customBuiltin="1"/>
    <cellStyle name="3" xfId="17"/>
    <cellStyle name="4" xfId="18"/>
    <cellStyle name="40% - Accent1" xfId="19" builtinId="31" customBuiltin="1"/>
    <cellStyle name="40% - Accent2" xfId="20" builtinId="35" customBuiltin="1"/>
    <cellStyle name="40% - Accent3" xfId="21" builtinId="39" customBuiltin="1"/>
    <cellStyle name="40% - Accent4" xfId="22" builtinId="43" customBuiltin="1"/>
    <cellStyle name="40% - Accent5" xfId="23" builtinId="47" customBuiltin="1"/>
    <cellStyle name="40% - Accent6" xfId="24" builtinId="51" customBuiltin="1"/>
    <cellStyle name="60% - Accent1" xfId="25" builtinId="32" customBuiltin="1"/>
    <cellStyle name="60% - Accent2" xfId="26" builtinId="36" customBuiltin="1"/>
    <cellStyle name="60% - Accent3" xfId="27" builtinId="40" customBuiltin="1"/>
    <cellStyle name="60% - Accent4" xfId="28" builtinId="44" customBuiltin="1"/>
    <cellStyle name="60% - Accent5" xfId="29" builtinId="48" customBuiltin="1"/>
    <cellStyle name="60% - Accent6" xfId="30" builtinId="52" customBuiltin="1"/>
    <cellStyle name="Accent1" xfId="31" builtinId="29" customBuiltin="1"/>
    <cellStyle name="Accent2" xfId="32" builtinId="33" customBuiltin="1"/>
    <cellStyle name="Accent3" xfId="33" builtinId="37" customBuiltin="1"/>
    <cellStyle name="Accent4" xfId="34" builtinId="41" customBuiltin="1"/>
    <cellStyle name="Accent5" xfId="35" builtinId="45" customBuiltin="1"/>
    <cellStyle name="Accent6" xfId="36" builtinId="49" customBuiltin="1"/>
    <cellStyle name="ÅëÈ­ [0]_¿ì¹°Åë" xfId="37"/>
    <cellStyle name="AeE­ [0]_INQUIRY ¿µ¾÷AßAø " xfId="38"/>
    <cellStyle name="ÅëÈ­ [0]_Sheet1" xfId="39"/>
    <cellStyle name="ÅëÈ­_¿ì¹°Åë" xfId="40"/>
    <cellStyle name="AeE­_INQUIRY ¿µ¾÷AßAø " xfId="41"/>
    <cellStyle name="ÅëÈ­_Sheet1" xfId="42"/>
    <cellStyle name="ÄÞ¸¶ [0]_¿ì¹°Åë" xfId="43"/>
    <cellStyle name="AÞ¸¶ [0]_INQUIRY ¿?¾÷AßAø " xfId="44"/>
    <cellStyle name="ÄÞ¸¶ [0]_Sheet1" xfId="45"/>
    <cellStyle name="ÄÞ¸¶_¿ì¹°Åë" xfId="46"/>
    <cellStyle name="AÞ¸¶_INQUIRY ¿?¾÷AßAø " xfId="47"/>
    <cellStyle name="ÄÞ¸¶_Sheet1" xfId="48"/>
    <cellStyle name="Bad" xfId="49" builtinId="27" customBuiltin="1"/>
    <cellStyle name="C?AØ_¿?¾÷CoE² " xfId="50"/>
    <cellStyle name="Ç¥ÁØ_´çÃÊ±¸ÀÔ»ý»ê" xfId="51"/>
    <cellStyle name="C￥AØ_¿μ¾÷CoE² " xfId="52"/>
    <cellStyle name="Ç¥ÁØ_±³°¢¼ö·®" xfId="53"/>
    <cellStyle name="Calculation" xfId="54" builtinId="22" customBuiltin="1"/>
    <cellStyle name="Check Cell" xfId="58" builtinId="23" customBuiltin="1"/>
    <cellStyle name="Comma" xfId="55" builtinId="3"/>
    <cellStyle name="Comma [0]" xfId="102" builtinId="6"/>
    <cellStyle name="Comma0" xfId="56"/>
    <cellStyle name="Currency0" xfId="57"/>
    <cellStyle name="Date" xfId="59"/>
    <cellStyle name="Explanatory Text" xfId="60" builtinId="53" customBuiltin="1"/>
    <cellStyle name="Fixed" xfId="61"/>
    <cellStyle name="Good" xfId="62" builtinId="26" customBuiltin="1"/>
    <cellStyle name="Header1" xfId="63"/>
    <cellStyle name="Header2" xfId="64"/>
    <cellStyle name="Heading 1" xfId="65" builtinId="16" customBuiltin="1"/>
    <cellStyle name="Heading 2" xfId="66" builtinId="17" customBuiltin="1"/>
    <cellStyle name="Heading 3" xfId="67" builtinId="18" customBuiltin="1"/>
    <cellStyle name="Heading 4" xfId="68" builtinId="19" customBuiltin="1"/>
    <cellStyle name="Input" xfId="69" builtinId="20" customBuiltin="1"/>
    <cellStyle name="Linked Cell" xfId="70" builtinId="24" customBuiltin="1"/>
    <cellStyle name="Neutral" xfId="71" builtinId="28" customBuiltin="1"/>
    <cellStyle name="Normal" xfId="0" builtinId="0"/>
    <cellStyle name="Normal - Style1" xfId="72"/>
    <cellStyle name="Normal 2" xfId="103"/>
    <cellStyle name="Normal_CHI" xfId="73"/>
    <cellStyle name="Normal_Sheet1" xfId="74"/>
    <cellStyle name="Note" xfId="75" builtinId="10" customBuiltin="1"/>
    <cellStyle name="Œ…‹æØ‚è [0.00]_††††† " xfId="76"/>
    <cellStyle name="Œ…‹æØ‚è_††††† " xfId="77"/>
    <cellStyle name="Output" xfId="78" builtinId="21" customBuiltin="1"/>
    <cellStyle name="T" xfId="79"/>
    <cellStyle name="th" xfId="82"/>
    <cellStyle name="Title" xfId="80" builtinId="15" customBuiltin="1"/>
    <cellStyle name="Total" xfId="81" builtinId="25" customBuiltin="1"/>
    <cellStyle name="viet" xfId="83"/>
    <cellStyle name="viet2" xfId="84"/>
    <cellStyle name="Warning Text" xfId="85" builtinId="11" customBuiltin="1"/>
    <cellStyle name="똿뗦먛귟 [0.00]_PRODUCT DETAIL Q1" xfId="86"/>
    <cellStyle name="똿뗦먛귟_PRODUCT DETAIL Q1" xfId="87"/>
    <cellStyle name="믅됞 [0.00]_PRODUCT DETAIL Q1" xfId="88"/>
    <cellStyle name="믅됞_PRODUCT DETAIL Q1" xfId="89"/>
    <cellStyle name="백분율_95" xfId="90"/>
    <cellStyle name="뷭?_BOOKSHIP" xfId="91"/>
    <cellStyle name="콤마 [0]_1202" xfId="92"/>
    <cellStyle name="콤마_1202" xfId="93"/>
    <cellStyle name="통화 [0]_1202" xfId="94"/>
    <cellStyle name="통화_1202" xfId="95"/>
    <cellStyle name="표준_(정보부문)월별인원계획" xfId="96"/>
    <cellStyle name="一般_Book1" xfId="97"/>
    <cellStyle name="千分位[0]_Book1" xfId="98"/>
    <cellStyle name="千分位_Book1" xfId="99"/>
    <cellStyle name="貨幣 [0]_Book1" xfId="100"/>
    <cellStyle name="貨幣_Book1" xfId="10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codeName="Sheet1">
    <tabColor rgb="FFFFFF00"/>
  </sheetPr>
  <dimension ref="A1:J94"/>
  <sheetViews>
    <sheetView workbookViewId="0">
      <pane ySplit="5" topLeftCell="A66" activePane="bottomLeft" state="frozen"/>
      <selection pane="bottomLeft" activeCell="B67" sqref="B67"/>
    </sheetView>
  </sheetViews>
  <sheetFormatPr defaultRowHeight="15"/>
  <cols>
    <col min="1" max="1" width="5.140625" style="7" bestFit="1" customWidth="1"/>
    <col min="2" max="2" width="35" style="7" customWidth="1"/>
    <col min="3" max="4" width="14" style="7" customWidth="1"/>
    <col min="5" max="5" width="15.28515625" style="7" customWidth="1"/>
    <col min="6" max="6" width="15.140625" style="7" customWidth="1"/>
    <col min="7" max="7" width="7.5703125" style="7" customWidth="1"/>
    <col min="8" max="8" width="20.7109375" style="7" bestFit="1" customWidth="1"/>
    <col min="9" max="9" width="9.140625" style="7"/>
    <col min="10" max="10" width="18.5703125" style="7" bestFit="1" customWidth="1"/>
    <col min="11" max="16384" width="9.140625" style="7"/>
  </cols>
  <sheetData>
    <row r="1" spans="1:10" ht="15.75">
      <c r="A1" s="385"/>
      <c r="B1" s="385"/>
      <c r="C1" s="385"/>
      <c r="D1" s="385"/>
      <c r="E1" s="385"/>
      <c r="F1" s="387" t="s">
        <v>80</v>
      </c>
      <c r="G1" s="387"/>
    </row>
    <row r="2" spans="1:10" s="8" customFormat="1" ht="28.5" customHeight="1">
      <c r="A2" s="386" t="s">
        <v>204</v>
      </c>
      <c r="B2" s="386"/>
      <c r="C2" s="386"/>
      <c r="D2" s="386"/>
      <c r="E2" s="386"/>
      <c r="F2" s="386"/>
      <c r="G2" s="386"/>
    </row>
    <row r="3" spans="1:10" s="8" customFormat="1" ht="15" customHeight="1">
      <c r="A3" s="155"/>
      <c r="B3" s="155"/>
      <c r="C3" s="155"/>
      <c r="D3" s="155"/>
      <c r="E3" s="155"/>
      <c r="F3" s="155"/>
      <c r="G3" s="155"/>
    </row>
    <row r="4" spans="1:10" ht="20.25" customHeight="1">
      <c r="A4" s="9"/>
      <c r="B4" s="154"/>
      <c r="C4" s="388" t="s">
        <v>11</v>
      </c>
      <c r="D4" s="388"/>
      <c r="E4" s="388"/>
      <c r="F4" s="388"/>
      <c r="G4" s="388"/>
    </row>
    <row r="5" spans="1:10" s="10" customFormat="1" ht="52.5" customHeight="1">
      <c r="A5" s="1" t="s">
        <v>0</v>
      </c>
      <c r="B5" s="1" t="s">
        <v>12</v>
      </c>
      <c r="C5" s="2" t="s">
        <v>13</v>
      </c>
      <c r="D5" s="2" t="s">
        <v>87</v>
      </c>
      <c r="E5" s="2" t="s">
        <v>88</v>
      </c>
      <c r="F5" s="2" t="s">
        <v>205</v>
      </c>
      <c r="G5" s="2" t="s">
        <v>122</v>
      </c>
    </row>
    <row r="6" spans="1:10" ht="22.5" customHeight="1">
      <c r="A6" s="164"/>
      <c r="B6" s="165" t="s">
        <v>14</v>
      </c>
      <c r="C6" s="166">
        <f>C7+C22+C25+C35+C41+C66+C65</f>
        <v>7355000000</v>
      </c>
      <c r="D6" s="166">
        <f>D7+D22+D25+D35+D41+D66+D65</f>
        <v>7339995632</v>
      </c>
      <c r="E6" s="166">
        <f>E7+E22+E25+E35+E41+E66+E65</f>
        <v>11449995632</v>
      </c>
      <c r="F6" s="166">
        <f>F7+F22+F25+F35+F41+F66+F65</f>
        <v>13533301059</v>
      </c>
      <c r="G6" s="167">
        <f>F6/E6*100</f>
        <v>118.19481416375095</v>
      </c>
      <c r="H6" s="11"/>
      <c r="J6" s="11"/>
    </row>
    <row r="7" spans="1:10" ht="20.25" customHeight="1">
      <c r="A7" s="34" t="s">
        <v>2</v>
      </c>
      <c r="B7" s="168" t="s">
        <v>199</v>
      </c>
      <c r="C7" s="169"/>
      <c r="D7" s="169">
        <f>SUM(D8:D18)</f>
        <v>801938632</v>
      </c>
      <c r="E7" s="169">
        <f>SUM(E8:E18)</f>
        <v>801938632</v>
      </c>
      <c r="F7" s="169">
        <f>F8+F11+F14+F15+F16+F18+F17</f>
        <v>1211237059</v>
      </c>
      <c r="G7" s="170">
        <f>F7/E7*100</f>
        <v>151.03862199271128</v>
      </c>
      <c r="H7" s="11"/>
    </row>
    <row r="8" spans="1:10" ht="20.25" customHeight="1">
      <c r="A8" s="3">
        <v>1</v>
      </c>
      <c r="B8" s="12" t="s">
        <v>15</v>
      </c>
      <c r="C8" s="13"/>
      <c r="D8" s="13">
        <v>130830910</v>
      </c>
      <c r="E8" s="13">
        <f>D8</f>
        <v>130830910</v>
      </c>
      <c r="F8" s="13">
        <f>F9+F10</f>
        <v>891923364</v>
      </c>
      <c r="G8" s="104"/>
      <c r="H8" s="171"/>
      <c r="J8" s="28"/>
    </row>
    <row r="9" spans="1:10" s="16" customFormat="1" ht="20.25" customHeight="1">
      <c r="A9" s="14"/>
      <c r="B9" s="172" t="s">
        <v>245</v>
      </c>
      <c r="C9" s="15"/>
      <c r="D9" s="15"/>
      <c r="E9" s="15"/>
      <c r="F9" s="15">
        <v>890723364</v>
      </c>
      <c r="G9" s="106"/>
      <c r="H9" s="173"/>
      <c r="J9" s="174"/>
    </row>
    <row r="10" spans="1:10" s="16" customFormat="1" ht="20.25" customHeight="1">
      <c r="A10" s="14"/>
      <c r="B10" s="172" t="s">
        <v>244</v>
      </c>
      <c r="C10" s="15"/>
      <c r="D10" s="15"/>
      <c r="E10" s="15"/>
      <c r="F10" s="15">
        <f>891923364-F9</f>
        <v>1200000</v>
      </c>
      <c r="G10" s="106"/>
      <c r="H10" s="173"/>
      <c r="J10" s="174"/>
    </row>
    <row r="11" spans="1:10" ht="20.25" customHeight="1">
      <c r="A11" s="3">
        <v>2</v>
      </c>
      <c r="B11" s="12" t="s">
        <v>40</v>
      </c>
      <c r="C11" s="13"/>
      <c r="D11" s="13">
        <v>629379722</v>
      </c>
      <c r="E11" s="13">
        <f>D11</f>
        <v>629379722</v>
      </c>
      <c r="F11" s="13">
        <f>F12+F13</f>
        <v>255345621</v>
      </c>
      <c r="G11" s="104"/>
      <c r="H11" s="11"/>
      <c r="J11" s="11"/>
    </row>
    <row r="12" spans="1:10" s="16" customFormat="1" ht="20.25" customHeight="1">
      <c r="A12" s="14"/>
      <c r="B12" s="172" t="s">
        <v>245</v>
      </c>
      <c r="C12" s="15"/>
      <c r="D12" s="15"/>
      <c r="E12" s="15"/>
      <c r="F12" s="15">
        <v>249637621</v>
      </c>
      <c r="G12" s="106"/>
      <c r="H12" s="173"/>
      <c r="J12" s="174"/>
    </row>
    <row r="13" spans="1:10" s="16" customFormat="1" ht="20.25" customHeight="1">
      <c r="A13" s="14"/>
      <c r="B13" s="172" t="s">
        <v>244</v>
      </c>
      <c r="C13" s="15"/>
      <c r="D13" s="15"/>
      <c r="E13" s="15"/>
      <c r="F13" s="15">
        <f>255345621-F12</f>
        <v>5708000</v>
      </c>
      <c r="G13" s="106"/>
      <c r="H13" s="173"/>
      <c r="J13" s="174"/>
    </row>
    <row r="14" spans="1:10" ht="20.25" customHeight="1">
      <c r="A14" s="3">
        <v>3</v>
      </c>
      <c r="B14" s="12" t="s">
        <v>115</v>
      </c>
      <c r="C14" s="13"/>
      <c r="D14" s="13">
        <v>28000000</v>
      </c>
      <c r="E14" s="13">
        <v>28000000</v>
      </c>
      <c r="F14" s="13">
        <v>28000000</v>
      </c>
      <c r="G14" s="104"/>
      <c r="H14" s="11"/>
      <c r="J14" s="11"/>
    </row>
    <row r="15" spans="1:10" ht="34.5" customHeight="1">
      <c r="A15" s="3">
        <v>4</v>
      </c>
      <c r="B15" s="12" t="s">
        <v>197</v>
      </c>
      <c r="C15" s="13"/>
      <c r="D15" s="13"/>
      <c r="E15" s="13"/>
      <c r="F15" s="13">
        <v>20000000</v>
      </c>
      <c r="G15" s="104"/>
      <c r="H15" s="11"/>
      <c r="J15" s="11"/>
    </row>
    <row r="16" spans="1:10" ht="20.25" customHeight="1">
      <c r="A16" s="3">
        <v>5</v>
      </c>
      <c r="B16" s="12" t="s">
        <v>145</v>
      </c>
      <c r="C16" s="13"/>
      <c r="D16" s="13">
        <v>950000</v>
      </c>
      <c r="E16" s="13">
        <f>D16</f>
        <v>950000</v>
      </c>
      <c r="F16" s="13">
        <v>950000</v>
      </c>
      <c r="G16" s="104"/>
      <c r="H16" s="11"/>
    </row>
    <row r="17" spans="1:8" ht="20.25" customHeight="1">
      <c r="A17" s="3">
        <v>6</v>
      </c>
      <c r="B17" s="12" t="s">
        <v>198</v>
      </c>
      <c r="C17" s="13"/>
      <c r="D17" s="13"/>
      <c r="E17" s="13"/>
      <c r="F17" s="13">
        <v>2231074</v>
      </c>
      <c r="G17" s="104"/>
      <c r="H17" s="11"/>
    </row>
    <row r="18" spans="1:8" ht="20.25" customHeight="1">
      <c r="A18" s="3">
        <v>7</v>
      </c>
      <c r="B18" s="12" t="s">
        <v>112</v>
      </c>
      <c r="C18" s="13"/>
      <c r="D18" s="13">
        <f>SUM(D19:D20)</f>
        <v>12778000</v>
      </c>
      <c r="E18" s="13">
        <f>SUM(E19:E20)</f>
        <v>12778000</v>
      </c>
      <c r="F18" s="13">
        <f>SUM(F19:F20)+F21</f>
        <v>12787000</v>
      </c>
      <c r="G18" s="104"/>
      <c r="H18" s="11"/>
    </row>
    <row r="19" spans="1:8" s="16" customFormat="1" ht="20.25" customHeight="1">
      <c r="A19" s="14"/>
      <c r="B19" s="172" t="s">
        <v>113</v>
      </c>
      <c r="C19" s="15"/>
      <c r="D19" s="4">
        <v>2444000</v>
      </c>
      <c r="E19" s="15">
        <v>2444000</v>
      </c>
      <c r="F19" s="15">
        <v>2444000</v>
      </c>
      <c r="G19" s="106"/>
      <c r="H19" s="175"/>
    </row>
    <row r="20" spans="1:8" s="16" customFormat="1" ht="20.25" customHeight="1">
      <c r="A20" s="14"/>
      <c r="B20" s="172" t="s">
        <v>114</v>
      </c>
      <c r="C20" s="15"/>
      <c r="D20" s="4">
        <v>10334000</v>
      </c>
      <c r="E20" s="15">
        <v>10334000</v>
      </c>
      <c r="F20" s="15">
        <v>10334000</v>
      </c>
      <c r="G20" s="106"/>
      <c r="H20" s="175"/>
    </row>
    <row r="21" spans="1:8" s="16" customFormat="1" ht="20.25" customHeight="1">
      <c r="A21" s="14"/>
      <c r="B21" s="172" t="s">
        <v>244</v>
      </c>
      <c r="C21" s="15"/>
      <c r="D21" s="4"/>
      <c r="E21" s="15"/>
      <c r="F21" s="15">
        <v>9000</v>
      </c>
      <c r="G21" s="106"/>
      <c r="H21" s="175"/>
    </row>
    <row r="22" spans="1:8" ht="20.25" customHeight="1">
      <c r="A22" s="19" t="s">
        <v>3</v>
      </c>
      <c r="B22" s="17" t="s">
        <v>200</v>
      </c>
      <c r="C22" s="18"/>
      <c r="D22" s="18">
        <f>SUM(D23:D24)</f>
        <v>26057000</v>
      </c>
      <c r="E22" s="18">
        <f>SUM(E23:E24)</f>
        <v>26057000</v>
      </c>
      <c r="F22" s="18">
        <f>SUM(F23:F24)</f>
        <v>26057000</v>
      </c>
      <c r="G22" s="103">
        <f>F22/E22*100</f>
        <v>100</v>
      </c>
      <c r="H22" s="11"/>
    </row>
    <row r="23" spans="1:8" ht="82.5" customHeight="1">
      <c r="A23" s="3">
        <v>1</v>
      </c>
      <c r="B23" s="12" t="s">
        <v>143</v>
      </c>
      <c r="C23" s="13"/>
      <c r="D23" s="13">
        <f>90000000-78139000</f>
        <v>11861000</v>
      </c>
      <c r="E23" s="13">
        <f>D23</f>
        <v>11861000</v>
      </c>
      <c r="F23" s="13">
        <v>11861000</v>
      </c>
      <c r="G23" s="104"/>
      <c r="H23" s="11"/>
    </row>
    <row r="24" spans="1:8" ht="82.5" customHeight="1">
      <c r="A24" s="3">
        <v>2</v>
      </c>
      <c r="B24" s="12" t="s">
        <v>144</v>
      </c>
      <c r="C24" s="13"/>
      <c r="D24" s="13">
        <f>200000000-185804000</f>
        <v>14196000</v>
      </c>
      <c r="E24" s="13">
        <f>D24</f>
        <v>14196000</v>
      </c>
      <c r="F24" s="13">
        <v>14196000</v>
      </c>
      <c r="G24" s="104"/>
      <c r="H24" s="11"/>
    </row>
    <row r="25" spans="1:8" ht="20.25" customHeight="1">
      <c r="A25" s="19" t="s">
        <v>4</v>
      </c>
      <c r="B25" s="17" t="s">
        <v>35</v>
      </c>
      <c r="C25" s="18">
        <f>C26+C27+C28+C31+C32</f>
        <v>237000000</v>
      </c>
      <c r="D25" s="18">
        <f>D26+D27+D28+D31+D32</f>
        <v>237000000</v>
      </c>
      <c r="E25" s="18">
        <f>E26+E27+E28+E31+E32</f>
        <v>367000000</v>
      </c>
      <c r="F25" s="18">
        <f>F26+F27+F28+F31+F32</f>
        <v>429902000</v>
      </c>
      <c r="G25" s="103">
        <f>F25/E25*100</f>
        <v>117.13950953678474</v>
      </c>
      <c r="H25" s="11"/>
    </row>
    <row r="26" spans="1:8" ht="20.25" customHeight="1">
      <c r="A26" s="3">
        <v>1</v>
      </c>
      <c r="B26" s="12" t="s">
        <v>17</v>
      </c>
      <c r="C26" s="13">
        <v>10000000</v>
      </c>
      <c r="D26" s="13">
        <f>C26</f>
        <v>10000000</v>
      </c>
      <c r="E26" s="13">
        <v>10000000</v>
      </c>
      <c r="F26" s="13">
        <v>10000000</v>
      </c>
      <c r="G26" s="104"/>
      <c r="H26" s="11"/>
    </row>
    <row r="27" spans="1:8" ht="20.25" customHeight="1">
      <c r="A27" s="3">
        <v>2</v>
      </c>
      <c r="B27" s="12" t="s">
        <v>62</v>
      </c>
      <c r="C27" s="13">
        <v>20000000</v>
      </c>
      <c r="D27" s="13">
        <f t="shared" ref="D27:D32" si="0">C27</f>
        <v>20000000</v>
      </c>
      <c r="E27" s="13">
        <v>20000000</v>
      </c>
      <c r="F27" s="13">
        <v>20000000</v>
      </c>
      <c r="G27" s="104"/>
      <c r="H27" s="11"/>
    </row>
    <row r="28" spans="1:8" ht="20.25" customHeight="1">
      <c r="A28" s="3">
        <v>3</v>
      </c>
      <c r="B28" s="12" t="s">
        <v>18</v>
      </c>
      <c r="C28" s="13">
        <f>C29+C30</f>
        <v>49000000</v>
      </c>
      <c r="D28" s="13">
        <f>D29+D30</f>
        <v>49000000</v>
      </c>
      <c r="E28" s="13">
        <f>E29+E30</f>
        <v>49000000</v>
      </c>
      <c r="F28" s="13">
        <f>F29+F30</f>
        <v>40500000</v>
      </c>
      <c r="G28" s="104">
        <f>F28/E28*100</f>
        <v>82.653061224489804</v>
      </c>
    </row>
    <row r="29" spans="1:8" s="16" customFormat="1" ht="33.75" customHeight="1">
      <c r="A29" s="20" t="s">
        <v>16</v>
      </c>
      <c r="B29" s="21" t="s">
        <v>118</v>
      </c>
      <c r="C29" s="15">
        <v>29000000</v>
      </c>
      <c r="D29" s="22">
        <v>29000000</v>
      </c>
      <c r="E29" s="22">
        <v>29000000</v>
      </c>
      <c r="F29" s="22">
        <v>17500000</v>
      </c>
      <c r="G29" s="105">
        <f>F29/E29*100</f>
        <v>60.344827586206897</v>
      </c>
    </row>
    <row r="30" spans="1:8" s="16" customFormat="1" ht="20.25" customHeight="1">
      <c r="A30" s="20" t="s">
        <v>97</v>
      </c>
      <c r="B30" s="21" t="s">
        <v>20</v>
      </c>
      <c r="C30" s="15">
        <v>20000000</v>
      </c>
      <c r="D30" s="22">
        <v>20000000</v>
      </c>
      <c r="E30" s="22">
        <v>20000000</v>
      </c>
      <c r="F30" s="22">
        <v>23000000</v>
      </c>
      <c r="G30" s="105">
        <f>F30/E30*100</f>
        <v>114.99999999999999</v>
      </c>
    </row>
    <row r="31" spans="1:8" ht="20.25" customHeight="1">
      <c r="A31" s="3">
        <v>4</v>
      </c>
      <c r="B31" s="12" t="s">
        <v>21</v>
      </c>
      <c r="C31" s="13">
        <v>8000000</v>
      </c>
      <c r="D31" s="13">
        <f t="shared" si="0"/>
        <v>8000000</v>
      </c>
      <c r="E31" s="13">
        <v>8000000</v>
      </c>
      <c r="F31" s="13">
        <v>60000000</v>
      </c>
      <c r="G31" s="104">
        <f>F31/E31*100</f>
        <v>750</v>
      </c>
      <c r="H31" s="80"/>
    </row>
    <row r="32" spans="1:8" ht="20.25" customHeight="1">
      <c r="A32" s="3">
        <v>5</v>
      </c>
      <c r="B32" s="12" t="s">
        <v>36</v>
      </c>
      <c r="C32" s="13">
        <v>150000000</v>
      </c>
      <c r="D32" s="13">
        <f t="shared" si="0"/>
        <v>150000000</v>
      </c>
      <c r="E32" s="13">
        <f>E33+E34</f>
        <v>280000000</v>
      </c>
      <c r="F32" s="13">
        <f>F33+F34</f>
        <v>299402000</v>
      </c>
      <c r="G32" s="104">
        <f>F32/E32*100</f>
        <v>106.9292857142857</v>
      </c>
      <c r="H32" s="80"/>
    </row>
    <row r="33" spans="1:8" ht="20.25" customHeight="1">
      <c r="A33" s="14" t="s">
        <v>22</v>
      </c>
      <c r="B33" s="23" t="s">
        <v>63</v>
      </c>
      <c r="C33" s="15"/>
      <c r="D33" s="15"/>
      <c r="E33" s="15">
        <v>170000000</v>
      </c>
      <c r="F33" s="15">
        <v>144252000</v>
      </c>
      <c r="G33" s="106"/>
      <c r="H33" s="143"/>
    </row>
    <row r="34" spans="1:8" ht="20.25" customHeight="1">
      <c r="A34" s="14" t="s">
        <v>23</v>
      </c>
      <c r="B34" s="23" t="s">
        <v>24</v>
      </c>
      <c r="C34" s="15"/>
      <c r="D34" s="15"/>
      <c r="E34" s="15">
        <v>110000000</v>
      </c>
      <c r="F34" s="15">
        <v>155150000</v>
      </c>
      <c r="G34" s="106"/>
    </row>
    <row r="35" spans="1:8" ht="20.25" customHeight="1">
      <c r="A35" s="19" t="s">
        <v>27</v>
      </c>
      <c r="B35" s="17" t="s">
        <v>25</v>
      </c>
      <c r="C35" s="18">
        <f>C36+C39+C40</f>
        <v>3485000000</v>
      </c>
      <c r="D35" s="18">
        <f>D36+D39+D40</f>
        <v>2642000000</v>
      </c>
      <c r="E35" s="18">
        <f>E36+E39+E40</f>
        <v>6675000000</v>
      </c>
      <c r="F35" s="18">
        <f>F36+F39+F40</f>
        <v>7255000000</v>
      </c>
      <c r="G35" s="103">
        <f t="shared" ref="G35:G42" si="1">F35/E35*100</f>
        <v>108.68913857677902</v>
      </c>
      <c r="H35" s="11"/>
    </row>
    <row r="36" spans="1:8" ht="20.25" customHeight="1">
      <c r="A36" s="3">
        <v>1</v>
      </c>
      <c r="B36" s="12" t="s">
        <v>34</v>
      </c>
      <c r="C36" s="13">
        <f>C37+C38</f>
        <v>483000000</v>
      </c>
      <c r="D36" s="13">
        <f>D37+D38</f>
        <v>483000000</v>
      </c>
      <c r="E36" s="13">
        <f>E37+E38</f>
        <v>483000000</v>
      </c>
      <c r="F36" s="13">
        <v>483000000</v>
      </c>
      <c r="G36" s="104">
        <f t="shared" si="1"/>
        <v>100</v>
      </c>
    </row>
    <row r="37" spans="1:8" s="27" customFormat="1" ht="20.25" customHeight="1">
      <c r="A37" s="24" t="s">
        <v>6</v>
      </c>
      <c r="B37" s="25" t="s">
        <v>86</v>
      </c>
      <c r="C37" s="26">
        <v>447000000</v>
      </c>
      <c r="D37" s="26">
        <f>C37</f>
        <v>447000000</v>
      </c>
      <c r="E37" s="26">
        <f>C37</f>
        <v>447000000</v>
      </c>
      <c r="F37" s="26"/>
      <c r="G37" s="104">
        <f t="shared" si="1"/>
        <v>0</v>
      </c>
    </row>
    <row r="38" spans="1:8" s="27" customFormat="1" ht="20.25" customHeight="1">
      <c r="A38" s="24" t="s">
        <v>7</v>
      </c>
      <c r="B38" s="25" t="s">
        <v>64</v>
      </c>
      <c r="C38" s="26">
        <v>36000000</v>
      </c>
      <c r="D38" s="26">
        <f>C38</f>
        <v>36000000</v>
      </c>
      <c r="E38" s="26">
        <f>C38</f>
        <v>36000000</v>
      </c>
      <c r="F38" s="26"/>
      <c r="G38" s="104">
        <f t="shared" si="1"/>
        <v>0</v>
      </c>
    </row>
    <row r="39" spans="1:8" ht="20.25" customHeight="1">
      <c r="A39" s="3">
        <v>2</v>
      </c>
      <c r="B39" s="12" t="s">
        <v>26</v>
      </c>
      <c r="C39" s="13">
        <v>192000000</v>
      </c>
      <c r="D39" s="13">
        <v>192000000</v>
      </c>
      <c r="E39" s="13">
        <v>192000000</v>
      </c>
      <c r="F39" s="13">
        <v>198000000</v>
      </c>
      <c r="G39" s="104">
        <f t="shared" si="1"/>
        <v>103.125</v>
      </c>
    </row>
    <row r="40" spans="1:8" ht="20.25" customHeight="1">
      <c r="A40" s="3">
        <v>3</v>
      </c>
      <c r="B40" s="12" t="s">
        <v>15</v>
      </c>
      <c r="C40" s="13">
        <v>2810000000</v>
      </c>
      <c r="D40" s="13">
        <v>1967000000</v>
      </c>
      <c r="E40" s="13">
        <v>6000000000</v>
      </c>
      <c r="F40" s="13">
        <v>6574000000</v>
      </c>
      <c r="G40" s="104">
        <f t="shared" si="1"/>
        <v>109.56666666666666</v>
      </c>
      <c r="H40" s="28"/>
    </row>
    <row r="41" spans="1:8" ht="20.25" customHeight="1">
      <c r="A41" s="19" t="s">
        <v>31</v>
      </c>
      <c r="B41" s="17" t="s">
        <v>28</v>
      </c>
      <c r="C41" s="18">
        <f>C42+C43</f>
        <v>3478000000</v>
      </c>
      <c r="D41" s="18">
        <f>D42+D43</f>
        <v>3478000000</v>
      </c>
      <c r="E41" s="18">
        <f>E42+E43</f>
        <v>3478000000</v>
      </c>
      <c r="F41" s="18">
        <f>F42+F43+F44</f>
        <v>4509401000</v>
      </c>
      <c r="G41" s="103">
        <f t="shared" si="1"/>
        <v>129.65500287521564</v>
      </c>
      <c r="H41" s="28"/>
    </row>
    <row r="42" spans="1:8" ht="20.25" customHeight="1">
      <c r="A42" s="3">
        <v>1</v>
      </c>
      <c r="B42" s="12" t="s">
        <v>29</v>
      </c>
      <c r="C42" s="13">
        <v>3185000000</v>
      </c>
      <c r="D42" s="13">
        <v>3185000000</v>
      </c>
      <c r="E42" s="13">
        <v>3185000000</v>
      </c>
      <c r="F42" s="13">
        <v>3185000000</v>
      </c>
      <c r="G42" s="104">
        <f t="shared" si="1"/>
        <v>100</v>
      </c>
    </row>
    <row r="43" spans="1:8" ht="20.25" customHeight="1">
      <c r="A43" s="3">
        <v>2</v>
      </c>
      <c r="B43" s="12" t="s">
        <v>30</v>
      </c>
      <c r="C43" s="13">
        <v>293000000</v>
      </c>
      <c r="D43" s="13">
        <f>C43</f>
        <v>293000000</v>
      </c>
      <c r="E43" s="13">
        <f>C43</f>
        <v>293000000</v>
      </c>
      <c r="F43" s="13"/>
      <c r="G43" s="104"/>
    </row>
    <row r="44" spans="1:8" ht="20.25" customHeight="1">
      <c r="A44" s="3">
        <v>3</v>
      </c>
      <c r="B44" s="12" t="s">
        <v>125</v>
      </c>
      <c r="C44" s="13"/>
      <c r="D44" s="13"/>
      <c r="E44" s="13"/>
      <c r="F44" s="13">
        <f>SUM(F45:F64)</f>
        <v>1324401000</v>
      </c>
      <c r="G44" s="104"/>
    </row>
    <row r="45" spans="1:8" ht="50.25" customHeight="1">
      <c r="A45" s="131">
        <v>3.1</v>
      </c>
      <c r="B45" s="130" t="s">
        <v>206</v>
      </c>
      <c r="C45" s="13"/>
      <c r="D45" s="13"/>
      <c r="E45" s="13"/>
      <c r="F45" s="137">
        <v>25000000</v>
      </c>
      <c r="G45" s="104"/>
    </row>
    <row r="46" spans="1:8" ht="45">
      <c r="A46" s="131">
        <v>3.2</v>
      </c>
      <c r="B46" s="130" t="s">
        <v>207</v>
      </c>
      <c r="C46" s="13"/>
      <c r="D46" s="13"/>
      <c r="E46" s="13"/>
      <c r="F46" s="137">
        <v>9000000</v>
      </c>
      <c r="G46" s="104"/>
    </row>
    <row r="47" spans="1:8" ht="17.25" customHeight="1">
      <c r="A47" s="131">
        <v>3.3</v>
      </c>
      <c r="B47" s="130" t="s">
        <v>208</v>
      </c>
      <c r="C47" s="13"/>
      <c r="D47" s="13"/>
      <c r="E47" s="13"/>
      <c r="F47" s="137">
        <v>4000000</v>
      </c>
      <c r="G47" s="104"/>
    </row>
    <row r="48" spans="1:8" ht="30">
      <c r="A48" s="131">
        <v>3.4</v>
      </c>
      <c r="B48" s="130" t="s">
        <v>209</v>
      </c>
      <c r="C48" s="13"/>
      <c r="D48" s="13"/>
      <c r="E48" s="13"/>
      <c r="F48" s="137">
        <v>60000000</v>
      </c>
      <c r="G48" s="104"/>
    </row>
    <row r="49" spans="1:7" ht="30">
      <c r="A49" s="131">
        <v>3.5</v>
      </c>
      <c r="B49" s="130" t="s">
        <v>210</v>
      </c>
      <c r="C49" s="13"/>
      <c r="D49" s="13"/>
      <c r="E49" s="13"/>
      <c r="F49" s="137">
        <v>130000000</v>
      </c>
      <c r="G49" s="104"/>
    </row>
    <row r="50" spans="1:7" ht="30">
      <c r="A50" s="131">
        <v>3.6</v>
      </c>
      <c r="B50" s="130" t="s">
        <v>211</v>
      </c>
      <c r="C50" s="13"/>
      <c r="D50" s="13"/>
      <c r="E50" s="13"/>
      <c r="F50" s="137">
        <v>30000000</v>
      </c>
      <c r="G50" s="104"/>
    </row>
    <row r="51" spans="1:7" ht="30">
      <c r="A51" s="131">
        <v>3.7</v>
      </c>
      <c r="B51" s="130" t="s">
        <v>212</v>
      </c>
      <c r="C51" s="13"/>
      <c r="D51" s="13"/>
      <c r="E51" s="13"/>
      <c r="F51" s="137">
        <v>64000000</v>
      </c>
      <c r="G51" s="104"/>
    </row>
    <row r="52" spans="1:7" ht="30">
      <c r="A52" s="131">
        <v>3.8</v>
      </c>
      <c r="B52" s="130" t="s">
        <v>213</v>
      </c>
      <c r="C52" s="13"/>
      <c r="D52" s="13"/>
      <c r="E52" s="13"/>
      <c r="F52" s="137">
        <v>20000000</v>
      </c>
      <c r="G52" s="104"/>
    </row>
    <row r="53" spans="1:7" ht="30">
      <c r="A53" s="131">
        <v>3.9</v>
      </c>
      <c r="B53" s="130" t="s">
        <v>214</v>
      </c>
      <c r="C53" s="13"/>
      <c r="D53" s="13"/>
      <c r="E53" s="13"/>
      <c r="F53" s="137">
        <v>80000000</v>
      </c>
      <c r="G53" s="104"/>
    </row>
    <row r="54" spans="1:7" ht="45">
      <c r="A54" s="131">
        <v>3.1</v>
      </c>
      <c r="B54" s="130" t="s">
        <v>215</v>
      </c>
      <c r="C54" s="13"/>
      <c r="D54" s="13"/>
      <c r="E54" s="13"/>
      <c r="F54" s="137">
        <v>79250000</v>
      </c>
      <c r="G54" s="104"/>
    </row>
    <row r="55" spans="1:7" ht="30">
      <c r="A55" s="131">
        <v>3.11</v>
      </c>
      <c r="B55" s="130" t="s">
        <v>216</v>
      </c>
      <c r="C55" s="13"/>
      <c r="D55" s="13"/>
      <c r="E55" s="13"/>
      <c r="F55" s="137">
        <v>100000000</v>
      </c>
      <c r="G55" s="104"/>
    </row>
    <row r="56" spans="1:7" ht="30">
      <c r="A56" s="131">
        <v>3.12</v>
      </c>
      <c r="B56" s="130" t="s">
        <v>217</v>
      </c>
      <c r="C56" s="13"/>
      <c r="D56" s="13"/>
      <c r="E56" s="13"/>
      <c r="F56" s="137">
        <v>80000000</v>
      </c>
      <c r="G56" s="104"/>
    </row>
    <row r="57" spans="1:7" ht="30">
      <c r="A57" s="131">
        <v>3.13</v>
      </c>
      <c r="B57" s="130" t="s">
        <v>218</v>
      </c>
      <c r="C57" s="13"/>
      <c r="D57" s="13"/>
      <c r="E57" s="13"/>
      <c r="F57" s="137">
        <v>76646000</v>
      </c>
      <c r="G57" s="104"/>
    </row>
    <row r="58" spans="1:7" ht="30">
      <c r="A58" s="131">
        <v>3.14</v>
      </c>
      <c r="B58" s="130" t="s">
        <v>219</v>
      </c>
      <c r="C58" s="13"/>
      <c r="D58" s="13"/>
      <c r="E58" s="13"/>
      <c r="F58" s="137">
        <v>38000000</v>
      </c>
      <c r="G58" s="104"/>
    </row>
    <row r="59" spans="1:7" ht="30">
      <c r="A59" s="131">
        <v>3.15</v>
      </c>
      <c r="B59" s="130" t="s">
        <v>220</v>
      </c>
      <c r="C59" s="13"/>
      <c r="D59" s="13"/>
      <c r="E59" s="13"/>
      <c r="F59" s="137">
        <v>20000000</v>
      </c>
      <c r="G59" s="104"/>
    </row>
    <row r="60" spans="1:7" ht="45">
      <c r="A60" s="131" t="s">
        <v>224</v>
      </c>
      <c r="B60" s="130" t="s">
        <v>221</v>
      </c>
      <c r="C60" s="13"/>
      <c r="D60" s="13"/>
      <c r="E60" s="13"/>
      <c r="F60" s="137">
        <v>96141000</v>
      </c>
      <c r="G60" s="104"/>
    </row>
    <row r="61" spans="1:7" ht="30">
      <c r="A61" s="131" t="s">
        <v>225</v>
      </c>
      <c r="B61" s="130" t="s">
        <v>222</v>
      </c>
      <c r="C61" s="13"/>
      <c r="D61" s="13"/>
      <c r="E61" s="13"/>
      <c r="F61" s="137">
        <v>10000000</v>
      </c>
      <c r="G61" s="104"/>
    </row>
    <row r="62" spans="1:7" ht="45">
      <c r="A62" s="131" t="s">
        <v>226</v>
      </c>
      <c r="B62" s="130" t="s">
        <v>228</v>
      </c>
      <c r="C62" s="13"/>
      <c r="D62" s="13"/>
      <c r="E62" s="13"/>
      <c r="F62" s="137">
        <v>300000000</v>
      </c>
      <c r="G62" s="104"/>
    </row>
    <row r="63" spans="1:7" ht="30">
      <c r="A63" s="131" t="s">
        <v>229</v>
      </c>
      <c r="B63" s="130" t="s">
        <v>227</v>
      </c>
      <c r="C63" s="13"/>
      <c r="D63" s="13"/>
      <c r="E63" s="13"/>
      <c r="F63" s="137">
        <v>92364000</v>
      </c>
      <c r="G63" s="104"/>
    </row>
    <row r="64" spans="1:7" ht="30">
      <c r="A64" s="131" t="s">
        <v>230</v>
      </c>
      <c r="B64" s="130" t="s">
        <v>231</v>
      </c>
      <c r="C64" s="13"/>
      <c r="D64" s="13"/>
      <c r="E64" s="13"/>
      <c r="F64" s="137">
        <v>10000000</v>
      </c>
      <c r="G64" s="104"/>
    </row>
    <row r="65" spans="1:8" s="85" customFormat="1" ht="34.5" customHeight="1">
      <c r="A65" s="133" t="s">
        <v>33</v>
      </c>
      <c r="B65" s="134" t="s">
        <v>175</v>
      </c>
      <c r="C65" s="135">
        <v>75000000</v>
      </c>
      <c r="D65" s="135">
        <v>75000000</v>
      </c>
      <c r="E65" s="135">
        <v>75000000</v>
      </c>
      <c r="F65" s="135">
        <v>75000000</v>
      </c>
      <c r="G65" s="136">
        <f>F65/E65*100</f>
        <v>100</v>
      </c>
    </row>
    <row r="66" spans="1:8" ht="20.25" customHeight="1">
      <c r="A66" s="19" t="s">
        <v>176</v>
      </c>
      <c r="B66" s="29" t="s">
        <v>76</v>
      </c>
      <c r="C66" s="18">
        <f>C67</f>
        <v>80000000</v>
      </c>
      <c r="D66" s="18">
        <f>D67</f>
        <v>80000000</v>
      </c>
      <c r="E66" s="18">
        <f>E67</f>
        <v>27000000</v>
      </c>
      <c r="F66" s="18">
        <f>F67</f>
        <v>26704000</v>
      </c>
      <c r="G66" s="103">
        <f>F66/E66*100</f>
        <v>98.903703703703698</v>
      </c>
      <c r="H66" s="11"/>
    </row>
    <row r="67" spans="1:8" ht="20.25" customHeight="1">
      <c r="A67" s="30"/>
      <c r="B67" s="31" t="s">
        <v>77</v>
      </c>
      <c r="C67" s="32">
        <v>80000000</v>
      </c>
      <c r="D67" s="32">
        <v>80000000</v>
      </c>
      <c r="E67" s="32">
        <v>27000000</v>
      </c>
      <c r="F67" s="32">
        <v>26704000</v>
      </c>
      <c r="G67" s="107"/>
    </row>
    <row r="68" spans="1:8" ht="18.75">
      <c r="A68" s="33"/>
      <c r="B68" s="33"/>
      <c r="C68" s="33"/>
      <c r="D68" s="33"/>
      <c r="E68" s="33"/>
      <c r="F68" s="33"/>
      <c r="G68" s="33"/>
    </row>
    <row r="69" spans="1:8" ht="18.75">
      <c r="A69" s="33"/>
      <c r="B69" s="33"/>
      <c r="C69" s="33"/>
      <c r="D69" s="33"/>
      <c r="E69" s="33"/>
      <c r="F69" s="33"/>
      <c r="G69" s="33"/>
    </row>
    <row r="70" spans="1:8" ht="18.75">
      <c r="A70" s="33"/>
      <c r="B70" s="33"/>
      <c r="C70" s="33"/>
      <c r="D70" s="33"/>
      <c r="E70" s="33"/>
      <c r="F70" s="33"/>
      <c r="G70" s="33"/>
    </row>
    <row r="71" spans="1:8" ht="18.75">
      <c r="A71" s="33"/>
      <c r="B71" s="33"/>
      <c r="C71" s="33"/>
      <c r="D71" s="33"/>
      <c r="E71" s="33"/>
      <c r="F71" s="33"/>
      <c r="G71" s="33"/>
    </row>
    <row r="72" spans="1:8" ht="18.75">
      <c r="A72" s="33"/>
      <c r="B72" s="33"/>
      <c r="C72" s="33"/>
      <c r="D72" s="33"/>
      <c r="E72" s="33"/>
      <c r="F72" s="33"/>
      <c r="G72" s="33"/>
    </row>
    <row r="73" spans="1:8" ht="18.75">
      <c r="A73" s="33"/>
      <c r="B73" s="33"/>
      <c r="C73" s="33"/>
      <c r="D73" s="33"/>
      <c r="E73" s="33"/>
      <c r="F73" s="33"/>
      <c r="G73" s="33"/>
    </row>
    <row r="74" spans="1:8" ht="18.75">
      <c r="A74" s="33"/>
      <c r="B74" s="33"/>
      <c r="C74" s="33"/>
      <c r="D74" s="33"/>
      <c r="E74" s="33"/>
      <c r="F74" s="33"/>
      <c r="G74" s="33"/>
    </row>
    <row r="75" spans="1:8" ht="18.75">
      <c r="A75" s="33"/>
      <c r="B75" s="33"/>
      <c r="C75" s="33"/>
      <c r="D75" s="33"/>
      <c r="E75" s="33"/>
      <c r="F75" s="33"/>
      <c r="G75" s="33"/>
    </row>
    <row r="76" spans="1:8" ht="18.75">
      <c r="A76" s="33"/>
      <c r="B76" s="33"/>
      <c r="C76" s="33"/>
      <c r="D76" s="33"/>
      <c r="E76" s="33"/>
      <c r="F76" s="33"/>
      <c r="G76" s="33"/>
    </row>
    <row r="77" spans="1:8" ht="18.75">
      <c r="A77" s="33"/>
      <c r="B77" s="33"/>
      <c r="C77" s="33"/>
      <c r="D77" s="33"/>
      <c r="E77" s="33"/>
      <c r="F77" s="33"/>
      <c r="G77" s="33"/>
    </row>
    <row r="78" spans="1:8" ht="18.75">
      <c r="A78" s="33"/>
      <c r="B78" s="33"/>
      <c r="C78" s="33"/>
      <c r="D78" s="33"/>
      <c r="E78" s="33"/>
      <c r="F78" s="33"/>
      <c r="G78" s="33"/>
    </row>
    <row r="79" spans="1:8" ht="18.75">
      <c r="A79" s="33"/>
      <c r="B79" s="33"/>
      <c r="C79" s="33"/>
      <c r="D79" s="33"/>
      <c r="E79" s="33"/>
      <c r="F79" s="33"/>
      <c r="G79" s="33"/>
    </row>
    <row r="80" spans="1:8" ht="18.75">
      <c r="A80" s="33"/>
      <c r="B80" s="33"/>
      <c r="C80" s="33"/>
      <c r="D80" s="33"/>
      <c r="E80" s="33"/>
      <c r="F80" s="33"/>
      <c r="G80" s="33"/>
    </row>
    <row r="81" spans="1:7" ht="18.75">
      <c r="A81" s="33"/>
      <c r="B81" s="33"/>
      <c r="C81" s="33"/>
      <c r="D81" s="33"/>
      <c r="E81" s="33"/>
      <c r="F81" s="33"/>
      <c r="G81" s="33"/>
    </row>
    <row r="82" spans="1:7" ht="18.75">
      <c r="A82" s="33"/>
      <c r="B82" s="33"/>
      <c r="C82" s="33"/>
      <c r="D82" s="33"/>
      <c r="E82" s="33"/>
      <c r="F82" s="33"/>
      <c r="G82" s="33"/>
    </row>
    <row r="83" spans="1:7" ht="18.75">
      <c r="A83" s="33"/>
      <c r="B83" s="33"/>
      <c r="C83" s="33"/>
      <c r="D83" s="33"/>
      <c r="E83" s="33"/>
      <c r="F83" s="33"/>
      <c r="G83" s="33"/>
    </row>
    <row r="84" spans="1:7" ht="18.75">
      <c r="A84" s="33"/>
      <c r="B84" s="33"/>
      <c r="C84" s="33"/>
      <c r="D84" s="33"/>
      <c r="E84" s="33"/>
      <c r="F84" s="33"/>
      <c r="G84" s="33"/>
    </row>
    <row r="85" spans="1:7" ht="18.75">
      <c r="A85" s="33"/>
      <c r="B85" s="33"/>
      <c r="C85" s="33"/>
      <c r="D85" s="33"/>
      <c r="E85" s="33"/>
      <c r="F85" s="33"/>
      <c r="G85" s="33"/>
    </row>
    <row r="86" spans="1:7" ht="18.75">
      <c r="A86" s="33"/>
      <c r="B86" s="33"/>
      <c r="C86" s="33"/>
      <c r="D86" s="33"/>
      <c r="E86" s="33"/>
      <c r="F86" s="33"/>
      <c r="G86" s="33"/>
    </row>
    <row r="87" spans="1:7" ht="18.75">
      <c r="A87" s="33"/>
      <c r="B87" s="33"/>
      <c r="C87" s="33"/>
      <c r="D87" s="33"/>
      <c r="E87" s="33"/>
      <c r="F87" s="33"/>
      <c r="G87" s="33"/>
    </row>
    <row r="88" spans="1:7" ht="18.75">
      <c r="A88" s="33"/>
      <c r="B88" s="33"/>
      <c r="C88" s="33"/>
      <c r="D88" s="33"/>
      <c r="E88" s="33"/>
      <c r="F88" s="33"/>
      <c r="G88" s="33"/>
    </row>
    <row r="89" spans="1:7" ht="18.75">
      <c r="A89" s="33"/>
      <c r="B89" s="33"/>
      <c r="C89" s="33"/>
      <c r="D89" s="33"/>
      <c r="E89" s="33"/>
      <c r="F89" s="33"/>
      <c r="G89" s="33"/>
    </row>
    <row r="90" spans="1:7" ht="18.75">
      <c r="A90" s="33"/>
      <c r="B90" s="33"/>
      <c r="C90" s="33"/>
      <c r="D90" s="33"/>
      <c r="E90" s="33"/>
      <c r="F90" s="33"/>
      <c r="G90" s="33"/>
    </row>
    <row r="91" spans="1:7" ht="18.75">
      <c r="A91" s="33"/>
      <c r="B91" s="33"/>
      <c r="C91" s="33"/>
      <c r="D91" s="33"/>
      <c r="E91" s="33"/>
      <c r="F91" s="33"/>
      <c r="G91" s="33"/>
    </row>
    <row r="92" spans="1:7" ht="18.75">
      <c r="A92" s="33"/>
      <c r="B92" s="33"/>
      <c r="C92" s="33"/>
      <c r="D92" s="33"/>
      <c r="E92" s="33"/>
      <c r="F92" s="33"/>
      <c r="G92" s="33"/>
    </row>
    <row r="93" spans="1:7" ht="18.75">
      <c r="A93" s="33"/>
      <c r="B93" s="33"/>
      <c r="C93" s="33"/>
      <c r="D93" s="33"/>
      <c r="E93" s="33"/>
      <c r="F93" s="33"/>
      <c r="G93" s="33"/>
    </row>
    <row r="94" spans="1:7" ht="18.75">
      <c r="A94" s="33"/>
      <c r="B94" s="33"/>
      <c r="C94" s="33"/>
      <c r="D94" s="33"/>
      <c r="E94" s="33"/>
      <c r="F94" s="33"/>
      <c r="G94" s="33"/>
    </row>
  </sheetData>
  <mergeCells count="4">
    <mergeCell ref="A1:E1"/>
    <mergeCell ref="A2:G2"/>
    <mergeCell ref="F1:G1"/>
    <mergeCell ref="C4:G4"/>
  </mergeCells>
  <phoneticPr fontId="58" type="noConversion"/>
  <pageMargins left="0.2" right="0.21" top="0.44" bottom="0.56000000000000005" header="0.36" footer="0.5"/>
  <pageSetup orientation="portrait" verticalDpi="0" r:id="rId1"/>
  <headerFooter alignWithMargins="0"/>
</worksheet>
</file>

<file path=xl/worksheets/sheet10.xml><?xml version="1.0" encoding="utf-8"?>
<worksheet xmlns="http://schemas.openxmlformats.org/spreadsheetml/2006/main" xmlns:r="http://schemas.openxmlformats.org/officeDocument/2006/relationships">
  <sheetPr codeName="Sheet9"/>
  <dimension ref="A2:F31"/>
  <sheetViews>
    <sheetView workbookViewId="0">
      <selection activeCell="C5" sqref="C5:C7"/>
    </sheetView>
  </sheetViews>
  <sheetFormatPr defaultRowHeight="15"/>
  <cols>
    <col min="1" max="1" width="41" style="197" customWidth="1"/>
    <col min="2" max="3" width="22.7109375" style="202" customWidth="1"/>
    <col min="4" max="5" width="9.140625" style="197"/>
    <col min="6" max="6" width="15" style="197" bestFit="1" customWidth="1"/>
    <col min="7" max="16384" width="9.140625" style="197"/>
  </cols>
  <sheetData>
    <row r="2" spans="1:6" ht="15.75">
      <c r="A2" s="405" t="s">
        <v>277</v>
      </c>
      <c r="B2" s="405"/>
      <c r="C2" s="405"/>
    </row>
    <row r="4" spans="1:6" ht="20.25" customHeight="1">
      <c r="A4" s="198" t="s">
        <v>32</v>
      </c>
      <c r="B4" s="199">
        <v>21000000</v>
      </c>
      <c r="C4" s="199">
        <f>SUM(C5:C7)</f>
        <v>18900000</v>
      </c>
    </row>
    <row r="5" spans="1:6" ht="20.25" customHeight="1">
      <c r="A5" s="200" t="s">
        <v>55</v>
      </c>
      <c r="B5" s="201"/>
      <c r="C5" s="201">
        <v>11000000</v>
      </c>
    </row>
    <row r="6" spans="1:6" ht="20.25" customHeight="1">
      <c r="A6" s="200" t="s">
        <v>275</v>
      </c>
      <c r="B6" s="201"/>
      <c r="C6" s="201">
        <v>3000000</v>
      </c>
    </row>
    <row r="7" spans="1:6" ht="20.25" customHeight="1">
      <c r="A7" s="200" t="s">
        <v>276</v>
      </c>
      <c r="B7" s="201"/>
      <c r="C7" s="201">
        <f>18900000-C6-C5</f>
        <v>4900000</v>
      </c>
    </row>
    <row r="9" spans="1:6">
      <c r="F9" s="202"/>
    </row>
    <row r="16" spans="1:6" ht="18" customHeight="1">
      <c r="A16" s="198"/>
      <c r="B16" s="199" t="s">
        <v>267</v>
      </c>
      <c r="C16" s="199" t="s">
        <v>268</v>
      </c>
    </row>
    <row r="17" spans="1:6" ht="18" customHeight="1">
      <c r="A17" s="198" t="s">
        <v>266</v>
      </c>
      <c r="B17" s="199">
        <v>120000000</v>
      </c>
      <c r="C17" s="199">
        <f>SUM(C18:C19)</f>
        <v>298178000</v>
      </c>
    </row>
    <row r="18" spans="1:6" ht="18" customHeight="1">
      <c r="A18" s="200" t="s">
        <v>269</v>
      </c>
      <c r="B18" s="201"/>
      <c r="C18" s="201">
        <f>43712500+48565000+21045000+37890000+18250000+45515500+25050000+18150000-30000000</f>
        <v>228178000</v>
      </c>
    </row>
    <row r="19" spans="1:6" ht="18" customHeight="1">
      <c r="A19" s="200" t="s">
        <v>270</v>
      </c>
      <c r="B19" s="201"/>
      <c r="C19" s="201">
        <v>70000000</v>
      </c>
    </row>
    <row r="20" spans="1:6" ht="18" customHeight="1">
      <c r="A20" s="200"/>
      <c r="B20" s="201"/>
      <c r="C20" s="201"/>
    </row>
    <row r="21" spans="1:6" ht="18" customHeight="1">
      <c r="A21" s="200"/>
      <c r="B21" s="201"/>
      <c r="C21" s="201"/>
    </row>
    <row r="22" spans="1:6" ht="18" customHeight="1">
      <c r="A22" s="200"/>
      <c r="B22" s="201"/>
      <c r="C22" s="201"/>
    </row>
    <row r="23" spans="1:6" ht="18" customHeight="1">
      <c r="A23" s="198" t="s">
        <v>273</v>
      </c>
      <c r="B23" s="199">
        <f>(C17-B17)/2</f>
        <v>89089000</v>
      </c>
      <c r="C23" s="199">
        <f>SUM(C24:C28)</f>
        <v>83500000</v>
      </c>
      <c r="D23" s="404"/>
      <c r="E23" s="404"/>
      <c r="F23" s="404"/>
    </row>
    <row r="24" spans="1:6" ht="38.25" customHeight="1">
      <c r="A24" s="203" t="s">
        <v>279</v>
      </c>
      <c r="B24" s="201"/>
      <c r="C24" s="201">
        <f>(15000000-12600000)*5</f>
        <v>12000000</v>
      </c>
      <c r="D24" s="404"/>
      <c r="E24" s="404"/>
      <c r="F24" s="404"/>
    </row>
    <row r="25" spans="1:6" ht="36" customHeight="1">
      <c r="A25" s="203" t="s">
        <v>271</v>
      </c>
      <c r="B25" s="201"/>
      <c r="C25" s="201">
        <v>20000000</v>
      </c>
      <c r="D25" s="404"/>
      <c r="E25" s="404"/>
      <c r="F25" s="404"/>
    </row>
    <row r="26" spans="1:6" ht="23.25" customHeight="1">
      <c r="A26" s="203" t="s">
        <v>272</v>
      </c>
      <c r="B26" s="201"/>
      <c r="C26" s="201">
        <v>31000000</v>
      </c>
      <c r="D26" s="404"/>
      <c r="E26" s="404"/>
      <c r="F26" s="404"/>
    </row>
    <row r="27" spans="1:6" ht="30">
      <c r="A27" s="203" t="s">
        <v>278</v>
      </c>
      <c r="B27" s="201"/>
      <c r="C27" s="201">
        <v>17500000</v>
      </c>
    </row>
    <row r="28" spans="1:6" ht="38.25" customHeight="1">
      <c r="A28" s="203" t="s">
        <v>280</v>
      </c>
      <c r="B28" s="201"/>
      <c r="C28" s="201">
        <v>3000000</v>
      </c>
    </row>
    <row r="29" spans="1:6">
      <c r="A29" s="404" t="s">
        <v>274</v>
      </c>
      <c r="B29" s="404"/>
      <c r="C29" s="404"/>
    </row>
    <row r="30" spans="1:6">
      <c r="A30" s="404"/>
      <c r="B30" s="404"/>
      <c r="C30" s="404"/>
    </row>
    <row r="31" spans="1:6">
      <c r="A31" s="404"/>
      <c r="B31" s="404"/>
      <c r="C31" s="404"/>
    </row>
  </sheetData>
  <mergeCells count="3">
    <mergeCell ref="D23:F26"/>
    <mergeCell ref="A29:C31"/>
    <mergeCell ref="A2:C2"/>
  </mergeCells>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sheetPr codeName="Sheet10"/>
  <dimension ref="B4:D9"/>
  <sheetViews>
    <sheetView workbookViewId="0">
      <selection activeCell="D8" sqref="D8"/>
    </sheetView>
  </sheetViews>
  <sheetFormatPr defaultColWidth="14.5703125" defaultRowHeight="26.25" customHeight="1"/>
  <cols>
    <col min="1" max="16384" width="14.5703125" style="243"/>
  </cols>
  <sheetData>
    <row r="4" spans="2:4" ht="26.25" customHeight="1">
      <c r="B4" s="243" t="s">
        <v>350</v>
      </c>
      <c r="C4" s="243" t="s">
        <v>351</v>
      </c>
    </row>
    <row r="5" spans="2:4" ht="26.25" customHeight="1">
      <c r="B5" s="243">
        <v>30000000</v>
      </c>
      <c r="C5" s="243">
        <v>25000000</v>
      </c>
      <c r="D5" s="243">
        <f>C5-B5</f>
        <v>-5000000</v>
      </c>
    </row>
    <row r="6" spans="2:4" ht="26.25" customHeight="1">
      <c r="B6" s="243">
        <v>95000000</v>
      </c>
      <c r="C6" s="243">
        <v>265500000</v>
      </c>
      <c r="D6" s="243">
        <f>C6-B6</f>
        <v>170500000</v>
      </c>
    </row>
    <row r="7" spans="2:4" ht="26.25" customHeight="1">
      <c r="D7" s="243">
        <f>SUM(D5:D6)</f>
        <v>165500000</v>
      </c>
    </row>
    <row r="8" spans="2:4" ht="26.25" customHeight="1">
      <c r="D8" s="243">
        <f>D7/2</f>
        <v>82750000</v>
      </c>
    </row>
    <row r="9" spans="2:4" ht="26.25" customHeight="1">
      <c r="D9" s="243">
        <f>D8*70%</f>
        <v>57925000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Sheet2">
    <tabColor rgb="FFFFFF00"/>
  </sheetPr>
  <dimension ref="A1:I167"/>
  <sheetViews>
    <sheetView workbookViewId="0">
      <pane ySplit="5" topLeftCell="A66" activePane="bottomLeft" state="frozen"/>
      <selection pane="bottomLeft" activeCell="D71" sqref="D71"/>
    </sheetView>
  </sheetViews>
  <sheetFormatPr defaultRowHeight="15"/>
  <cols>
    <col min="1" max="1" width="7.7109375" style="35" customWidth="1"/>
    <col min="2" max="2" width="51" style="35" customWidth="1"/>
    <col min="3" max="3" width="15.42578125" style="77" customWidth="1"/>
    <col min="4" max="4" width="16.42578125" style="77" customWidth="1"/>
    <col min="5" max="5" width="14.28515625" style="77" customWidth="1"/>
    <col min="6" max="7" width="16.5703125" style="77" customWidth="1"/>
    <col min="8" max="8" width="8.7109375" style="129" customWidth="1"/>
    <col min="9" max="9" width="12" style="35" bestFit="1" customWidth="1"/>
    <col min="10" max="16384" width="9.140625" style="35"/>
  </cols>
  <sheetData>
    <row r="1" spans="1:9" ht="15.75" customHeight="1">
      <c r="C1" s="389" t="s">
        <v>65</v>
      </c>
      <c r="D1" s="389"/>
      <c r="E1" s="389"/>
      <c r="F1" s="389"/>
      <c r="G1" s="389"/>
      <c r="H1" s="389"/>
    </row>
    <row r="2" spans="1:9" ht="24" customHeight="1">
      <c r="A2" s="390" t="s">
        <v>223</v>
      </c>
      <c r="B2" s="390"/>
      <c r="C2" s="390"/>
      <c r="D2" s="390"/>
      <c r="E2" s="390"/>
      <c r="F2" s="390"/>
      <c r="G2" s="390"/>
      <c r="H2" s="390"/>
    </row>
    <row r="3" spans="1:9" ht="9" customHeight="1">
      <c r="A3" s="391"/>
      <c r="B3" s="391"/>
      <c r="C3" s="391"/>
      <c r="D3" s="391"/>
      <c r="E3" s="161"/>
      <c r="F3" s="161"/>
      <c r="G3" s="161"/>
      <c r="H3" s="108"/>
    </row>
    <row r="4" spans="1:9" s="36" customFormat="1" ht="19.5" customHeight="1">
      <c r="B4" s="37"/>
      <c r="C4" s="392" t="s">
        <v>71</v>
      </c>
      <c r="D4" s="392"/>
      <c r="E4" s="392"/>
      <c r="F4" s="392"/>
      <c r="G4" s="392"/>
      <c r="H4" s="392"/>
    </row>
    <row r="5" spans="1:9" s="38" customFormat="1" ht="53.25" customHeight="1">
      <c r="A5" s="162" t="s">
        <v>0</v>
      </c>
      <c r="B5" s="162" t="s">
        <v>37</v>
      </c>
      <c r="C5" s="163" t="s">
        <v>13</v>
      </c>
      <c r="D5" s="163" t="s">
        <v>72</v>
      </c>
      <c r="E5" s="98" t="s">
        <v>191</v>
      </c>
      <c r="F5" s="98" t="s">
        <v>192</v>
      </c>
      <c r="G5" s="98" t="s">
        <v>233</v>
      </c>
      <c r="H5" s="41" t="s">
        <v>122</v>
      </c>
    </row>
    <row r="6" spans="1:9" s="40" customFormat="1" ht="22.5" customHeight="1">
      <c r="A6" s="393" t="s">
        <v>252</v>
      </c>
      <c r="B6" s="394"/>
      <c r="C6" s="39">
        <f>C7+C138</f>
        <v>6512000000</v>
      </c>
      <c r="D6" s="39">
        <f>D7+D138+D141+D150</f>
        <v>13350745631.799999</v>
      </c>
      <c r="E6" s="39">
        <f>E7+E138+E141+E150</f>
        <v>75000000</v>
      </c>
      <c r="F6" s="39">
        <f>F7+F138+F141+F150+F160</f>
        <v>13350745631.799999</v>
      </c>
      <c r="G6" s="39">
        <f>G7+G138+G141+G150+G160+G135</f>
        <v>13533301059</v>
      </c>
      <c r="H6" s="109">
        <f>G6/F6*100</f>
        <v>101.36738001183375</v>
      </c>
      <c r="I6" s="178"/>
    </row>
    <row r="7" spans="1:9" s="40" customFormat="1" ht="21" customHeight="1">
      <c r="A7" s="41" t="s">
        <v>1</v>
      </c>
      <c r="B7" s="42" t="s">
        <v>38</v>
      </c>
      <c r="C7" s="39">
        <f>C8+C46+C113</f>
        <v>6432000000</v>
      </c>
      <c r="D7" s="39">
        <f>D8+D46+D113</f>
        <v>12439699999.799999</v>
      </c>
      <c r="E7" s="39">
        <f>E8+E46+E113</f>
        <v>75000000</v>
      </c>
      <c r="F7" s="39">
        <f>F8+F46+F113</f>
        <v>12364699999.799999</v>
      </c>
      <c r="G7" s="39">
        <f>G8+G46+G113+G114</f>
        <v>11260313352</v>
      </c>
      <c r="H7" s="109">
        <f>G7/F7*100</f>
        <v>91.068229331743893</v>
      </c>
      <c r="I7" s="177"/>
    </row>
    <row r="8" spans="1:9" s="40" customFormat="1" ht="21" customHeight="1">
      <c r="A8" s="41" t="s">
        <v>2</v>
      </c>
      <c r="B8" s="51" t="s">
        <v>39</v>
      </c>
      <c r="C8" s="39">
        <f>SUM(C9)</f>
        <v>1967000000</v>
      </c>
      <c r="D8" s="39">
        <f>D9+D32+D44+D34+D40</f>
        <v>7909700000</v>
      </c>
      <c r="E8" s="39">
        <f>E9+E32+E44+E34+E40</f>
        <v>0</v>
      </c>
      <c r="F8" s="39">
        <f>F9+F32+F44+F34+F40</f>
        <v>7909700000</v>
      </c>
      <c r="G8" s="39">
        <f>G9+G32+G44+G34+G40</f>
        <v>5921862000</v>
      </c>
      <c r="H8" s="109">
        <f>G8/F8*100</f>
        <v>74.868351517756679</v>
      </c>
    </row>
    <row r="9" spans="1:9" s="38" customFormat="1" ht="21" customHeight="1">
      <c r="A9" s="52">
        <v>1</v>
      </c>
      <c r="B9" s="53" t="s">
        <v>73</v>
      </c>
      <c r="C9" s="54">
        <v>1967000000</v>
      </c>
      <c r="D9" s="54">
        <f>D10+D11+D12+D13+D14+D16+D19+D20+D21+D22+D23+D15+D26+D27+D28+D29+D30+D31</f>
        <v>6309000000</v>
      </c>
      <c r="E9" s="54">
        <f>E10+E11+E12+E13+E14+E16+E19+E20+E21+E22+E23+E15+E26+E27+E28+E29+E30+E31</f>
        <v>0</v>
      </c>
      <c r="F9" s="54">
        <f>F10+F11+F12+F13+F14+F16+F19+F20+F21+F22+F23+F15+F26+F27+F28+F29+F30+F31</f>
        <v>6309000000</v>
      </c>
      <c r="G9" s="54">
        <f>G10+G11+G12+G13+G14+G16+G19+G20+G21+G22+G23+G15+G26+G27+G28+G29+G30+G31</f>
        <v>4538829000</v>
      </c>
      <c r="H9" s="110">
        <f>G9/F9*100</f>
        <v>71.942130290061812</v>
      </c>
    </row>
    <row r="10" spans="1:9" s="45" customFormat="1" ht="23.25" customHeight="1">
      <c r="A10" s="78" t="s">
        <v>6</v>
      </c>
      <c r="B10" s="43" t="s">
        <v>133</v>
      </c>
      <c r="C10" s="44"/>
      <c r="D10" s="44">
        <v>490000000</v>
      </c>
      <c r="E10" s="44"/>
      <c r="F10" s="44">
        <f>D10-E10</f>
        <v>490000000</v>
      </c>
      <c r="G10" s="44">
        <v>490000000</v>
      </c>
      <c r="H10" s="111"/>
    </row>
    <row r="11" spans="1:9" s="45" customFormat="1" ht="23.25" customHeight="1">
      <c r="A11" s="78" t="s">
        <v>7</v>
      </c>
      <c r="B11" s="43" t="s">
        <v>134</v>
      </c>
      <c r="C11" s="44"/>
      <c r="D11" s="44">
        <v>276000000</v>
      </c>
      <c r="E11" s="44"/>
      <c r="F11" s="44">
        <f t="shared" ref="F11:F86" si="0">D11-E11</f>
        <v>276000000</v>
      </c>
      <c r="G11" s="44">
        <f>189687000+16585000+6020000+4400000+4375000</f>
        <v>221067000</v>
      </c>
      <c r="H11" s="111"/>
    </row>
    <row r="12" spans="1:9" s="45" customFormat="1" ht="39.75" customHeight="1">
      <c r="A12" s="78" t="s">
        <v>8</v>
      </c>
      <c r="B12" s="43" t="s">
        <v>135</v>
      </c>
      <c r="C12" s="44"/>
      <c r="D12" s="44">
        <v>772000000</v>
      </c>
      <c r="E12" s="44"/>
      <c r="F12" s="44">
        <f t="shared" si="0"/>
        <v>772000000</v>
      </c>
      <c r="G12" s="44">
        <v>740764000</v>
      </c>
      <c r="H12" s="111"/>
    </row>
    <row r="13" spans="1:9" s="45" customFormat="1" ht="39.75" customHeight="1">
      <c r="A13" s="78" t="s">
        <v>9</v>
      </c>
      <c r="B13" s="43" t="s">
        <v>136</v>
      </c>
      <c r="C13" s="44"/>
      <c r="D13" s="44">
        <v>284000000</v>
      </c>
      <c r="E13" s="44"/>
      <c r="F13" s="44">
        <f t="shared" si="0"/>
        <v>284000000</v>
      </c>
      <c r="G13" s="44">
        <v>218276000</v>
      </c>
      <c r="H13" s="111"/>
    </row>
    <row r="14" spans="1:9" s="45" customFormat="1" ht="39.75" customHeight="1">
      <c r="A14" s="78" t="s">
        <v>119</v>
      </c>
      <c r="B14" s="43" t="s">
        <v>137</v>
      </c>
      <c r="C14" s="44"/>
      <c r="D14" s="44">
        <v>185000000</v>
      </c>
      <c r="E14" s="44"/>
      <c r="F14" s="44">
        <f t="shared" si="0"/>
        <v>185000000</v>
      </c>
      <c r="G14" s="44">
        <v>76762000</v>
      </c>
      <c r="H14" s="111"/>
    </row>
    <row r="15" spans="1:9" s="45" customFormat="1" ht="39.75" customHeight="1">
      <c r="A15" s="78" t="s">
        <v>78</v>
      </c>
      <c r="B15" s="43" t="s">
        <v>177</v>
      </c>
      <c r="C15" s="44"/>
      <c r="D15" s="44">
        <v>112000000</v>
      </c>
      <c r="E15" s="44"/>
      <c r="F15" s="44">
        <f t="shared" si="0"/>
        <v>112000000</v>
      </c>
      <c r="G15" s="44">
        <v>42495000</v>
      </c>
      <c r="H15" s="111"/>
    </row>
    <row r="16" spans="1:9" s="45" customFormat="1" ht="23.25" customHeight="1">
      <c r="A16" s="78" t="s">
        <v>56</v>
      </c>
      <c r="B16" s="43" t="s">
        <v>138</v>
      </c>
      <c r="C16" s="44"/>
      <c r="D16" s="44">
        <f>D17+D18</f>
        <v>142000000</v>
      </c>
      <c r="E16" s="44"/>
      <c r="F16" s="44">
        <f t="shared" si="0"/>
        <v>142000000</v>
      </c>
      <c r="G16" s="44">
        <f>G17+G18</f>
        <v>125781000</v>
      </c>
      <c r="H16" s="111"/>
    </row>
    <row r="17" spans="1:8" s="45" customFormat="1" ht="23.25" customHeight="1">
      <c r="A17" s="78"/>
      <c r="B17" s="68" t="s">
        <v>178</v>
      </c>
      <c r="C17" s="44"/>
      <c r="D17" s="44">
        <f>200000000-142000000</f>
        <v>58000000</v>
      </c>
      <c r="E17" s="44"/>
      <c r="F17" s="44">
        <f t="shared" si="0"/>
        <v>58000000</v>
      </c>
      <c r="G17" s="44">
        <v>58000000</v>
      </c>
      <c r="H17" s="111"/>
    </row>
    <row r="18" spans="1:8" s="45" customFormat="1" ht="23.25" customHeight="1">
      <c r="A18" s="78"/>
      <c r="B18" s="68" t="s">
        <v>139</v>
      </c>
      <c r="C18" s="44"/>
      <c r="D18" s="44">
        <v>84000000</v>
      </c>
      <c r="E18" s="44"/>
      <c r="F18" s="44">
        <f t="shared" si="0"/>
        <v>84000000</v>
      </c>
      <c r="G18" s="44">
        <f>125781000-G17</f>
        <v>67781000</v>
      </c>
      <c r="H18" s="111"/>
    </row>
    <row r="19" spans="1:8" s="45" customFormat="1" ht="23.25" customHeight="1">
      <c r="A19" s="78" t="s">
        <v>79</v>
      </c>
      <c r="B19" s="43" t="s">
        <v>140</v>
      </c>
      <c r="C19" s="44"/>
      <c r="D19" s="44">
        <v>900000000</v>
      </c>
      <c r="E19" s="44"/>
      <c r="F19" s="44">
        <f t="shared" si="0"/>
        <v>900000000</v>
      </c>
      <c r="G19" s="44">
        <v>365501000</v>
      </c>
      <c r="H19" s="111"/>
    </row>
    <row r="20" spans="1:8" s="45" customFormat="1" ht="42" customHeight="1">
      <c r="A20" s="78" t="s">
        <v>81</v>
      </c>
      <c r="B20" s="43" t="s">
        <v>141</v>
      </c>
      <c r="C20" s="44"/>
      <c r="D20" s="44">
        <v>26000000</v>
      </c>
      <c r="E20" s="44"/>
      <c r="F20" s="44">
        <f t="shared" si="0"/>
        <v>26000000</v>
      </c>
      <c r="G20" s="44"/>
      <c r="H20" s="111"/>
    </row>
    <row r="21" spans="1:8" s="45" customFormat="1" ht="42" customHeight="1">
      <c r="A21" s="78" t="s">
        <v>57</v>
      </c>
      <c r="B21" s="43" t="s">
        <v>150</v>
      </c>
      <c r="C21" s="44"/>
      <c r="D21" s="44">
        <v>300000000</v>
      </c>
      <c r="E21" s="44"/>
      <c r="F21" s="44">
        <f t="shared" si="0"/>
        <v>300000000</v>
      </c>
      <c r="G21" s="44">
        <f>300000000-223000</f>
        <v>299777000</v>
      </c>
      <c r="H21" s="111"/>
    </row>
    <row r="22" spans="1:8" s="45" customFormat="1" ht="25.5" customHeight="1">
      <c r="A22" s="78" t="s">
        <v>120</v>
      </c>
      <c r="B22" s="43" t="s">
        <v>152</v>
      </c>
      <c r="C22" s="44"/>
      <c r="D22" s="44">
        <v>637000000</v>
      </c>
      <c r="E22" s="44"/>
      <c r="F22" s="44">
        <f t="shared" si="0"/>
        <v>637000000</v>
      </c>
      <c r="G22" s="44">
        <v>595367000</v>
      </c>
      <c r="H22" s="111"/>
    </row>
    <row r="23" spans="1:8" s="45" customFormat="1" ht="25.5" customHeight="1">
      <c r="A23" s="78" t="s">
        <v>58</v>
      </c>
      <c r="B23" s="43" t="s">
        <v>153</v>
      </c>
      <c r="C23" s="44"/>
      <c r="D23" s="44">
        <f>D24+D25</f>
        <v>557000000</v>
      </c>
      <c r="E23" s="44"/>
      <c r="F23" s="44">
        <f>F24+F25</f>
        <v>557000000</v>
      </c>
      <c r="G23" s="44">
        <f>G24+G25</f>
        <v>478821000</v>
      </c>
      <c r="H23" s="111"/>
    </row>
    <row r="24" spans="1:8" s="45" customFormat="1" ht="25.5" customHeight="1">
      <c r="A24" s="78"/>
      <c r="B24" s="68" t="s">
        <v>234</v>
      </c>
      <c r="C24" s="44"/>
      <c r="D24" s="44">
        <v>400000000</v>
      </c>
      <c r="E24" s="44"/>
      <c r="F24" s="44">
        <f t="shared" si="0"/>
        <v>400000000</v>
      </c>
      <c r="G24" s="44">
        <v>400000000</v>
      </c>
      <c r="H24" s="111"/>
    </row>
    <row r="25" spans="1:8" s="45" customFormat="1" ht="25.5" customHeight="1">
      <c r="A25" s="78"/>
      <c r="B25" s="68" t="s">
        <v>235</v>
      </c>
      <c r="C25" s="44"/>
      <c r="D25" s="44">
        <v>157000000</v>
      </c>
      <c r="E25" s="44"/>
      <c r="F25" s="44">
        <f t="shared" si="0"/>
        <v>157000000</v>
      </c>
      <c r="G25" s="44">
        <f>502789000-23968000-400000000</f>
        <v>78821000</v>
      </c>
      <c r="H25" s="111"/>
    </row>
    <row r="26" spans="1:8" s="45" customFormat="1" ht="34.5" customHeight="1">
      <c r="A26" s="78" t="s">
        <v>59</v>
      </c>
      <c r="B26" s="43" t="s">
        <v>236</v>
      </c>
      <c r="C26" s="44"/>
      <c r="D26" s="44">
        <v>191000000</v>
      </c>
      <c r="E26" s="44"/>
      <c r="F26" s="44">
        <f t="shared" ref="F26:F31" si="1">D26-E26</f>
        <v>191000000</v>
      </c>
      <c r="G26" s="44">
        <f>191000000-7641000</f>
        <v>183359000</v>
      </c>
      <c r="H26" s="111"/>
    </row>
    <row r="27" spans="1:8" s="45" customFormat="1" ht="25.5" customHeight="1">
      <c r="A27" s="78">
        <v>1.1399999999999999</v>
      </c>
      <c r="B27" s="43" t="s">
        <v>237</v>
      </c>
      <c r="C27" s="44"/>
      <c r="D27" s="44">
        <v>192000000</v>
      </c>
      <c r="E27" s="44"/>
      <c r="F27" s="44">
        <f t="shared" si="1"/>
        <v>192000000</v>
      </c>
      <c r="G27" s="44">
        <v>182684000</v>
      </c>
      <c r="H27" s="111"/>
    </row>
    <row r="28" spans="1:8" s="45" customFormat="1" ht="36" customHeight="1">
      <c r="A28" s="78">
        <v>1.1499999999999999</v>
      </c>
      <c r="B28" s="43" t="s">
        <v>238</v>
      </c>
      <c r="C28" s="44"/>
      <c r="D28" s="44">
        <v>645000000</v>
      </c>
      <c r="E28" s="44"/>
      <c r="F28" s="44">
        <f t="shared" si="1"/>
        <v>645000000</v>
      </c>
      <c r="G28" s="44"/>
      <c r="H28" s="111"/>
    </row>
    <row r="29" spans="1:8" s="45" customFormat="1" ht="36" customHeight="1">
      <c r="A29" s="78">
        <v>1.1599999999999999</v>
      </c>
      <c r="B29" s="43" t="s">
        <v>239</v>
      </c>
      <c r="C29" s="44"/>
      <c r="D29" s="44">
        <v>490000000</v>
      </c>
      <c r="E29" s="44"/>
      <c r="F29" s="44">
        <f t="shared" si="1"/>
        <v>490000000</v>
      </c>
      <c r="G29" s="44">
        <f>429000000-20825000</f>
        <v>408175000</v>
      </c>
      <c r="H29" s="111"/>
    </row>
    <row r="30" spans="1:8" s="45" customFormat="1" ht="36" customHeight="1">
      <c r="A30" s="78">
        <v>1.17</v>
      </c>
      <c r="B30" s="43" t="s">
        <v>240</v>
      </c>
      <c r="C30" s="44"/>
      <c r="D30" s="44">
        <v>50000000</v>
      </c>
      <c r="E30" s="44"/>
      <c r="F30" s="44">
        <f t="shared" si="1"/>
        <v>50000000</v>
      </c>
      <c r="G30" s="44">
        <v>50000000</v>
      </c>
      <c r="H30" s="111"/>
    </row>
    <row r="31" spans="1:8" s="45" customFormat="1" ht="36" customHeight="1">
      <c r="A31" s="78">
        <v>1.18</v>
      </c>
      <c r="B31" s="43" t="s">
        <v>241</v>
      </c>
      <c r="C31" s="44"/>
      <c r="D31" s="44">
        <v>60000000</v>
      </c>
      <c r="E31" s="44"/>
      <c r="F31" s="44">
        <f t="shared" si="1"/>
        <v>60000000</v>
      </c>
      <c r="G31" s="44">
        <v>60000000</v>
      </c>
      <c r="H31" s="111"/>
    </row>
    <row r="32" spans="1:8" s="38" customFormat="1" ht="21" customHeight="1">
      <c r="A32" s="56">
        <v>2</v>
      </c>
      <c r="B32" s="57" t="s">
        <v>121</v>
      </c>
      <c r="C32" s="58"/>
      <c r="D32" s="58">
        <f>D33</f>
        <v>732000000</v>
      </c>
      <c r="E32" s="58">
        <f>E33</f>
        <v>0</v>
      </c>
      <c r="F32" s="58">
        <f>F33</f>
        <v>732000000</v>
      </c>
      <c r="G32" s="58">
        <f>G33</f>
        <v>732000000</v>
      </c>
      <c r="H32" s="112">
        <f>G32/F32*100</f>
        <v>100</v>
      </c>
    </row>
    <row r="33" spans="1:8" s="45" customFormat="1" ht="21" customHeight="1">
      <c r="A33" s="55" t="s">
        <v>10</v>
      </c>
      <c r="B33" s="43" t="s">
        <v>142</v>
      </c>
      <c r="C33" s="44"/>
      <c r="D33" s="44">
        <v>732000000</v>
      </c>
      <c r="E33" s="44"/>
      <c r="F33" s="44">
        <f t="shared" si="0"/>
        <v>732000000</v>
      </c>
      <c r="G33" s="44">
        <v>732000000</v>
      </c>
      <c r="H33" s="111"/>
    </row>
    <row r="34" spans="1:8" s="38" customFormat="1" ht="21" customHeight="1">
      <c r="A34" s="56">
        <v>3</v>
      </c>
      <c r="B34" s="57" t="s">
        <v>149</v>
      </c>
      <c r="C34" s="58"/>
      <c r="D34" s="58">
        <f>SUM(D35:D39)</f>
        <v>358300000</v>
      </c>
      <c r="E34" s="58">
        <f>SUM(E35:E39)</f>
        <v>0</v>
      </c>
      <c r="F34" s="58">
        <f>SUM(F35:F39)</f>
        <v>358300000</v>
      </c>
      <c r="G34" s="58">
        <f>SUM(G35:G39)</f>
        <v>312700000</v>
      </c>
      <c r="H34" s="112"/>
    </row>
    <row r="35" spans="1:8" s="45" customFormat="1" ht="21" customHeight="1">
      <c r="A35" s="55" t="s">
        <v>16</v>
      </c>
      <c r="B35" s="43" t="s">
        <v>155</v>
      </c>
      <c r="C35" s="44"/>
      <c r="D35" s="44">
        <v>63000000</v>
      </c>
      <c r="E35" s="44"/>
      <c r="F35" s="44">
        <f t="shared" si="0"/>
        <v>63000000</v>
      </c>
      <c r="G35" s="44">
        <v>63000000</v>
      </c>
      <c r="H35" s="111"/>
    </row>
    <row r="36" spans="1:8" s="45" customFormat="1" ht="37.5" customHeight="1">
      <c r="A36" s="55" t="s">
        <v>97</v>
      </c>
      <c r="B36" s="43" t="s">
        <v>156</v>
      </c>
      <c r="C36" s="44"/>
      <c r="D36" s="44">
        <v>147000000</v>
      </c>
      <c r="E36" s="44"/>
      <c r="F36" s="44">
        <f t="shared" si="0"/>
        <v>147000000</v>
      </c>
      <c r="G36" s="44">
        <v>147000000</v>
      </c>
      <c r="H36" s="111"/>
    </row>
    <row r="37" spans="1:8" s="45" customFormat="1" ht="21" customHeight="1">
      <c r="A37" s="55" t="s">
        <v>19</v>
      </c>
      <c r="B37" s="43" t="s">
        <v>157</v>
      </c>
      <c r="C37" s="44"/>
      <c r="D37" s="44">
        <v>45600000</v>
      </c>
      <c r="E37" s="44"/>
      <c r="F37" s="44">
        <f t="shared" si="0"/>
        <v>45600000</v>
      </c>
      <c r="G37" s="44"/>
      <c r="H37" s="111"/>
    </row>
    <row r="38" spans="1:8" s="45" customFormat="1" ht="21" customHeight="1">
      <c r="A38" s="55">
        <v>3.4</v>
      </c>
      <c r="B38" s="43" t="s">
        <v>242</v>
      </c>
      <c r="C38" s="44"/>
      <c r="D38" s="44">
        <v>80000000</v>
      </c>
      <c r="E38" s="44"/>
      <c r="F38" s="44">
        <f t="shared" si="0"/>
        <v>80000000</v>
      </c>
      <c r="G38" s="44">
        <v>80000000</v>
      </c>
      <c r="H38" s="111"/>
    </row>
    <row r="39" spans="1:8" s="45" customFormat="1" ht="37.5" customHeight="1">
      <c r="A39" s="55">
        <v>3.5</v>
      </c>
      <c r="B39" s="43" t="s">
        <v>249</v>
      </c>
      <c r="C39" s="44"/>
      <c r="D39" s="44">
        <v>22700000</v>
      </c>
      <c r="E39" s="44"/>
      <c r="F39" s="44">
        <f t="shared" si="0"/>
        <v>22700000</v>
      </c>
      <c r="G39" s="44">
        <v>22700000</v>
      </c>
      <c r="H39" s="111"/>
    </row>
    <row r="40" spans="1:8" s="38" customFormat="1" ht="24" customHeight="1">
      <c r="A40" s="56">
        <v>4</v>
      </c>
      <c r="B40" s="57" t="s">
        <v>40</v>
      </c>
      <c r="C40" s="58"/>
      <c r="D40" s="58">
        <f>D41+D42+D43</f>
        <v>292000000</v>
      </c>
      <c r="E40" s="58">
        <f>E41+E42+E43</f>
        <v>0</v>
      </c>
      <c r="F40" s="58">
        <f>F41+F42+F43</f>
        <v>292000000</v>
      </c>
      <c r="G40" s="58">
        <f>G41+G42+G43</f>
        <v>280040000</v>
      </c>
      <c r="H40" s="112">
        <f>G40/F40*100</f>
        <v>95.904109589041099</v>
      </c>
    </row>
    <row r="41" spans="1:8" s="45" customFormat="1" ht="25.5" customHeight="1">
      <c r="A41" s="55" t="s">
        <v>123</v>
      </c>
      <c r="B41" s="43" t="s">
        <v>151</v>
      </c>
      <c r="C41" s="44"/>
      <c r="D41" s="44">
        <v>70000000</v>
      </c>
      <c r="E41" s="44"/>
      <c r="F41" s="44">
        <f t="shared" si="0"/>
        <v>70000000</v>
      </c>
      <c r="G41" s="44">
        <f>22276000+41844000+650000</f>
        <v>64770000</v>
      </c>
      <c r="H41" s="111"/>
    </row>
    <row r="42" spans="1:8" s="45" customFormat="1" ht="37.5" customHeight="1">
      <c r="A42" s="55" t="s">
        <v>124</v>
      </c>
      <c r="B42" s="43" t="s">
        <v>154</v>
      </c>
      <c r="C42" s="44"/>
      <c r="D42" s="44">
        <v>200000000</v>
      </c>
      <c r="E42" s="44"/>
      <c r="F42" s="44">
        <f t="shared" si="0"/>
        <v>200000000</v>
      </c>
      <c r="G42" s="44">
        <v>193270000</v>
      </c>
      <c r="H42" s="111"/>
    </row>
    <row r="43" spans="1:8" s="45" customFormat="1" ht="27" customHeight="1">
      <c r="A43" s="55" t="s">
        <v>128</v>
      </c>
      <c r="B43" s="43" t="s">
        <v>243</v>
      </c>
      <c r="C43" s="44"/>
      <c r="D43" s="44">
        <v>22000000</v>
      </c>
      <c r="E43" s="44"/>
      <c r="F43" s="44">
        <f t="shared" si="0"/>
        <v>22000000</v>
      </c>
      <c r="G43" s="44">
        <v>22000000</v>
      </c>
      <c r="H43" s="111"/>
    </row>
    <row r="44" spans="1:8" s="38" customFormat="1" ht="23.25" customHeight="1">
      <c r="A44" s="56">
        <v>5</v>
      </c>
      <c r="B44" s="57" t="s">
        <v>54</v>
      </c>
      <c r="C44" s="58"/>
      <c r="D44" s="58">
        <v>218400000</v>
      </c>
      <c r="E44" s="58"/>
      <c r="F44" s="58">
        <f t="shared" si="0"/>
        <v>218400000</v>
      </c>
      <c r="G44" s="58">
        <f>G45</f>
        <v>58293000</v>
      </c>
      <c r="H44" s="112">
        <f>G44/F44*100</f>
        <v>26.690934065934062</v>
      </c>
    </row>
    <row r="45" spans="1:8" s="45" customFormat="1" ht="38.25" customHeight="1">
      <c r="A45" s="140"/>
      <c r="B45" s="141" t="s">
        <v>246</v>
      </c>
      <c r="C45" s="99"/>
      <c r="D45" s="99"/>
      <c r="E45" s="99"/>
      <c r="F45" s="99"/>
      <c r="G45" s="99">
        <v>58293000</v>
      </c>
      <c r="H45" s="142"/>
    </row>
    <row r="46" spans="1:8" s="40" customFormat="1" ht="21" customHeight="1">
      <c r="A46" s="41" t="s">
        <v>3</v>
      </c>
      <c r="B46" s="51" t="s">
        <v>40</v>
      </c>
      <c r="C46" s="39">
        <f>C47+C51+C55+C67</f>
        <v>4335000000</v>
      </c>
      <c r="D46" s="39">
        <f>D47+D51+D55+D67</f>
        <v>4399999999.8000002</v>
      </c>
      <c r="E46" s="39">
        <f>E47+E51+E55+E67</f>
        <v>75000000</v>
      </c>
      <c r="F46" s="39">
        <f>F47+F51+F55+F67</f>
        <v>4324999999.8000002</v>
      </c>
      <c r="G46" s="39">
        <f>G47+G51+G55+G67</f>
        <v>3889050352</v>
      </c>
      <c r="H46" s="109">
        <f>G46/F46*100</f>
        <v>89.920239356759311</v>
      </c>
    </row>
    <row r="47" spans="1:8" s="40" customFormat="1" ht="21" customHeight="1">
      <c r="A47" s="81">
        <v>1</v>
      </c>
      <c r="B47" s="82" t="s">
        <v>41</v>
      </c>
      <c r="C47" s="83">
        <v>55000000</v>
      </c>
      <c r="D47" s="83">
        <f>D48+D49+D50</f>
        <v>55000000</v>
      </c>
      <c r="E47" s="83">
        <f>E48+E49+E50</f>
        <v>1900000</v>
      </c>
      <c r="F47" s="83">
        <f>F48+F49+F50</f>
        <v>53100000</v>
      </c>
      <c r="G47" s="83">
        <f>G48+G49+G50</f>
        <v>53100000</v>
      </c>
      <c r="H47" s="156">
        <f>G47/F47*100</f>
        <v>100</v>
      </c>
    </row>
    <row r="48" spans="1:8" s="38" customFormat="1" ht="39" customHeight="1">
      <c r="A48" s="56"/>
      <c r="B48" s="73" t="s">
        <v>147</v>
      </c>
      <c r="C48" s="58"/>
      <c r="D48" s="58">
        <v>33000000</v>
      </c>
      <c r="E48" s="58"/>
      <c r="F48" s="44">
        <f t="shared" si="0"/>
        <v>33000000</v>
      </c>
      <c r="G48" s="44">
        <v>33000000</v>
      </c>
      <c r="H48" s="113"/>
    </row>
    <row r="49" spans="1:8" s="38" customFormat="1" ht="39" customHeight="1">
      <c r="A49" s="56"/>
      <c r="B49" s="73" t="s">
        <v>116</v>
      </c>
      <c r="C49" s="58"/>
      <c r="D49" s="58">
        <v>19000000</v>
      </c>
      <c r="E49" s="58">
        <f>D49*10%</f>
        <v>1900000</v>
      </c>
      <c r="F49" s="44">
        <f t="shared" si="0"/>
        <v>17100000</v>
      </c>
      <c r="G49" s="44">
        <v>17100000</v>
      </c>
      <c r="H49" s="113"/>
    </row>
    <row r="50" spans="1:8" s="38" customFormat="1" ht="21" customHeight="1">
      <c r="A50" s="56"/>
      <c r="B50" s="73" t="s">
        <v>82</v>
      </c>
      <c r="C50" s="58"/>
      <c r="D50" s="58">
        <v>3000000</v>
      </c>
      <c r="E50" s="58"/>
      <c r="F50" s="44">
        <f t="shared" si="0"/>
        <v>3000000</v>
      </c>
      <c r="G50" s="44">
        <v>3000000</v>
      </c>
      <c r="H50" s="113"/>
    </row>
    <row r="51" spans="1:8" s="40" customFormat="1" ht="31.5" customHeight="1">
      <c r="A51" s="62">
        <v>2</v>
      </c>
      <c r="B51" s="63" t="s">
        <v>172</v>
      </c>
      <c r="C51" s="61">
        <f>53000000+5000000</f>
        <v>58000000</v>
      </c>
      <c r="D51" s="61">
        <f>SUM(D52:D54)</f>
        <v>58000000</v>
      </c>
      <c r="E51" s="61">
        <f>SUM(E52:E54)</f>
        <v>1200000</v>
      </c>
      <c r="F51" s="61">
        <f>SUM(F52:F54)</f>
        <v>56800000</v>
      </c>
      <c r="G51" s="61">
        <f>SUM(G52:G54)</f>
        <v>17560000</v>
      </c>
      <c r="H51" s="114">
        <f>G51/F51*100</f>
        <v>30.915492957746476</v>
      </c>
    </row>
    <row r="52" spans="1:8" s="40" customFormat="1" ht="21" customHeight="1">
      <c r="A52" s="56"/>
      <c r="B52" s="60" t="s">
        <v>75</v>
      </c>
      <c r="C52" s="46"/>
      <c r="D52" s="46">
        <v>7000000</v>
      </c>
      <c r="E52" s="58">
        <f>D52*10%</f>
        <v>700000</v>
      </c>
      <c r="F52" s="44">
        <f t="shared" si="0"/>
        <v>6300000</v>
      </c>
      <c r="G52" s="44">
        <v>5560000</v>
      </c>
      <c r="H52" s="114"/>
    </row>
    <row r="53" spans="1:8" s="40" customFormat="1" ht="21" customHeight="1">
      <c r="A53" s="56"/>
      <c r="B53" s="60" t="s">
        <v>74</v>
      </c>
      <c r="C53" s="46"/>
      <c r="D53" s="46">
        <v>5000000</v>
      </c>
      <c r="E53" s="58">
        <f>D53*10%</f>
        <v>500000</v>
      </c>
      <c r="F53" s="44">
        <f t="shared" si="0"/>
        <v>4500000</v>
      </c>
      <c r="G53" s="44">
        <v>4500000</v>
      </c>
      <c r="H53" s="114"/>
    </row>
    <row r="54" spans="1:8" s="40" customFormat="1" ht="21" customHeight="1">
      <c r="A54" s="56"/>
      <c r="B54" s="60" t="s">
        <v>60</v>
      </c>
      <c r="C54" s="46"/>
      <c r="D54" s="46">
        <f>53000000-D52-D53+5000000</f>
        <v>46000000</v>
      </c>
      <c r="E54" s="58"/>
      <c r="F54" s="44">
        <f t="shared" si="0"/>
        <v>46000000</v>
      </c>
      <c r="G54" s="44">
        <v>7500000</v>
      </c>
      <c r="H54" s="114"/>
    </row>
    <row r="55" spans="1:8" s="40" customFormat="1" ht="21" customHeight="1">
      <c r="A55" s="62">
        <v>3</v>
      </c>
      <c r="B55" s="63" t="s">
        <v>89</v>
      </c>
      <c r="C55" s="61">
        <f>C56+C57+C65+C66</f>
        <v>176000000</v>
      </c>
      <c r="D55" s="61">
        <f>D56+D57+D65+D66</f>
        <v>183000000</v>
      </c>
      <c r="E55" s="61">
        <f>E56+E57+E65+E66</f>
        <v>14800000</v>
      </c>
      <c r="F55" s="61">
        <f>F56+F57+F65+F66</f>
        <v>168200000</v>
      </c>
      <c r="G55" s="61">
        <f>G56+G57+G65+G66</f>
        <v>158233000</v>
      </c>
      <c r="H55" s="114">
        <f>G55/F55*100</f>
        <v>94.074316290130795</v>
      </c>
    </row>
    <row r="56" spans="1:8" s="38" customFormat="1" ht="21" customHeight="1">
      <c r="A56" s="56" t="s">
        <v>16</v>
      </c>
      <c r="B56" s="57" t="s">
        <v>92</v>
      </c>
      <c r="C56" s="58">
        <v>20000000</v>
      </c>
      <c r="D56" s="58">
        <v>20000000</v>
      </c>
      <c r="E56" s="58">
        <f>D56*10%</f>
        <v>2000000</v>
      </c>
      <c r="F56" s="44">
        <f t="shared" si="0"/>
        <v>18000000</v>
      </c>
      <c r="G56" s="44">
        <v>18000000</v>
      </c>
      <c r="H56" s="112"/>
    </row>
    <row r="57" spans="1:8" s="38" customFormat="1" ht="21" customHeight="1">
      <c r="A57" s="56" t="s">
        <v>97</v>
      </c>
      <c r="B57" s="57" t="s">
        <v>90</v>
      </c>
      <c r="C57" s="58">
        <f>C58+C64</f>
        <v>94000000</v>
      </c>
      <c r="D57" s="58">
        <f>D58+D64</f>
        <v>101000000</v>
      </c>
      <c r="E57" s="58">
        <f>E58+E64</f>
        <v>6600000</v>
      </c>
      <c r="F57" s="58">
        <f>F58+F64</f>
        <v>94400000</v>
      </c>
      <c r="G57" s="58">
        <f>G58+G64</f>
        <v>80233000</v>
      </c>
      <c r="H57" s="112"/>
    </row>
    <row r="58" spans="1:8" s="38" customFormat="1" ht="21" customHeight="1">
      <c r="A58" s="56" t="s">
        <v>109</v>
      </c>
      <c r="B58" s="57" t="s">
        <v>91</v>
      </c>
      <c r="C58" s="58">
        <v>78000000</v>
      </c>
      <c r="D58" s="58">
        <f>SUM(D59:D63)</f>
        <v>85000000</v>
      </c>
      <c r="E58" s="58">
        <f>SUM(E59:E63)</f>
        <v>5000000</v>
      </c>
      <c r="F58" s="58">
        <f>SUM(F59:F63)</f>
        <v>80000000</v>
      </c>
      <c r="G58" s="58">
        <f>SUM(G59:G63)</f>
        <v>73233000</v>
      </c>
      <c r="H58" s="112"/>
    </row>
    <row r="59" spans="1:8" s="40" customFormat="1" ht="21" customHeight="1">
      <c r="A59" s="56"/>
      <c r="B59" s="68" t="s">
        <v>42</v>
      </c>
      <c r="C59" s="44"/>
      <c r="D59" s="44">
        <v>10000000</v>
      </c>
      <c r="E59" s="58">
        <f>D59*10%</f>
        <v>1000000</v>
      </c>
      <c r="F59" s="44">
        <f t="shared" si="0"/>
        <v>9000000</v>
      </c>
      <c r="G59" s="44">
        <v>5000000</v>
      </c>
      <c r="H59" s="114"/>
    </row>
    <row r="60" spans="1:8" s="40" customFormat="1" ht="35.25" customHeight="1">
      <c r="A60" s="56"/>
      <c r="B60" s="68" t="s">
        <v>94</v>
      </c>
      <c r="C60" s="44"/>
      <c r="D60" s="44">
        <v>32000000</v>
      </c>
      <c r="E60" s="58"/>
      <c r="F60" s="44">
        <f t="shared" si="0"/>
        <v>32000000</v>
      </c>
      <c r="G60" s="44">
        <f>27000000+2000000+3233000</f>
        <v>32233000</v>
      </c>
      <c r="H60" s="114"/>
    </row>
    <row r="61" spans="1:8" s="40" customFormat="1" ht="18.75" customHeight="1">
      <c r="A61" s="56"/>
      <c r="B61" s="68" t="s">
        <v>95</v>
      </c>
      <c r="C61" s="44"/>
      <c r="D61" s="44">
        <v>15000000</v>
      </c>
      <c r="E61" s="58">
        <f>D61*10%</f>
        <v>1500000</v>
      </c>
      <c r="F61" s="44">
        <f t="shared" si="0"/>
        <v>13500000</v>
      </c>
      <c r="G61" s="44">
        <v>13500000</v>
      </c>
      <c r="H61" s="114"/>
    </row>
    <row r="62" spans="1:8" s="40" customFormat="1" ht="18.75" customHeight="1">
      <c r="A62" s="56"/>
      <c r="B62" s="68" t="s">
        <v>190</v>
      </c>
      <c r="C62" s="44"/>
      <c r="D62" s="44">
        <v>25000000</v>
      </c>
      <c r="E62" s="58">
        <f>D62*10%</f>
        <v>2500000</v>
      </c>
      <c r="F62" s="44">
        <f t="shared" si="0"/>
        <v>22500000</v>
      </c>
      <c r="G62" s="44">
        <v>22500000</v>
      </c>
      <c r="H62" s="114"/>
    </row>
    <row r="63" spans="1:8" s="40" customFormat="1" ht="18.75" customHeight="1">
      <c r="A63" s="56"/>
      <c r="B63" s="68" t="s">
        <v>60</v>
      </c>
      <c r="C63" s="44"/>
      <c r="D63" s="44">
        <v>3000000</v>
      </c>
      <c r="E63" s="58"/>
      <c r="F63" s="44">
        <f t="shared" si="0"/>
        <v>3000000</v>
      </c>
      <c r="G63" s="44"/>
      <c r="H63" s="114"/>
    </row>
    <row r="64" spans="1:8" s="40" customFormat="1" ht="22.5" customHeight="1">
      <c r="A64" s="56" t="s">
        <v>110</v>
      </c>
      <c r="B64" s="57" t="s">
        <v>93</v>
      </c>
      <c r="C64" s="58">
        <v>16000000</v>
      </c>
      <c r="D64" s="58">
        <v>16000000</v>
      </c>
      <c r="E64" s="58">
        <f>D64*10%</f>
        <v>1600000</v>
      </c>
      <c r="F64" s="58">
        <f t="shared" si="0"/>
        <v>14400000</v>
      </c>
      <c r="G64" s="58">
        <v>7000000</v>
      </c>
      <c r="H64" s="114"/>
    </row>
    <row r="65" spans="1:8" s="40" customFormat="1" ht="31.5" customHeight="1">
      <c r="A65" s="56" t="s">
        <v>19</v>
      </c>
      <c r="B65" s="57" t="s">
        <v>232</v>
      </c>
      <c r="C65" s="58">
        <v>30000000</v>
      </c>
      <c r="D65" s="58">
        <v>30000000</v>
      </c>
      <c r="E65" s="58">
        <f>D65*10%</f>
        <v>3000000</v>
      </c>
      <c r="F65" s="58">
        <f t="shared" si="0"/>
        <v>27000000</v>
      </c>
      <c r="G65" s="58">
        <v>31200000</v>
      </c>
      <c r="H65" s="114"/>
    </row>
    <row r="66" spans="1:8" s="40" customFormat="1" ht="21" customHeight="1">
      <c r="A66" s="56" t="s">
        <v>159</v>
      </c>
      <c r="B66" s="57" t="s">
        <v>96</v>
      </c>
      <c r="C66" s="58">
        <v>32000000</v>
      </c>
      <c r="D66" s="58">
        <v>32000000</v>
      </c>
      <c r="E66" s="58">
        <f>D66*10%</f>
        <v>3200000</v>
      </c>
      <c r="F66" s="58">
        <f t="shared" si="0"/>
        <v>28800000</v>
      </c>
      <c r="G66" s="58">
        <v>28800000</v>
      </c>
      <c r="H66" s="114"/>
    </row>
    <row r="67" spans="1:8" s="40" customFormat="1" ht="21" customHeight="1">
      <c r="A67" s="62">
        <v>4</v>
      </c>
      <c r="B67" s="63" t="s">
        <v>43</v>
      </c>
      <c r="C67" s="61">
        <f>C68+C98+C106+C107+C112</f>
        <v>4046000000</v>
      </c>
      <c r="D67" s="61">
        <f>D68+D98+D106+D107+D112++D108+D111+D109+D110</f>
        <v>4103999999.8000002</v>
      </c>
      <c r="E67" s="61">
        <f>E68+E98+E106+E107+E112++E108+E111+E109+E110</f>
        <v>57100000</v>
      </c>
      <c r="F67" s="61">
        <f>F68+F98+F106+F107+F112++F108+F111+F109+F110</f>
        <v>4046899999.8000002</v>
      </c>
      <c r="G67" s="61">
        <f>G68+G98+G106+G107+G112++G108+G111+G109+G110</f>
        <v>3660157352</v>
      </c>
      <c r="H67" s="114">
        <f>G67/F67*100</f>
        <v>90.443483955148068</v>
      </c>
    </row>
    <row r="68" spans="1:8" s="40" customFormat="1" ht="21" customHeight="1">
      <c r="A68" s="56" t="s">
        <v>123</v>
      </c>
      <c r="B68" s="57" t="s">
        <v>98</v>
      </c>
      <c r="C68" s="58">
        <f>C69+C89+C90</f>
        <v>3884000000</v>
      </c>
      <c r="D68" s="58">
        <f>D69+D89+D90</f>
        <v>3911999999.8000002</v>
      </c>
      <c r="E68" s="58">
        <f>E69+E89+E90</f>
        <v>43760000</v>
      </c>
      <c r="F68" s="58">
        <f>F69+F89+F90</f>
        <v>3868239999.8000002</v>
      </c>
      <c r="G68" s="58">
        <f>G69+G89+G90</f>
        <v>3469824352</v>
      </c>
      <c r="H68" s="112">
        <f>G68/F68*100</f>
        <v>89.700337936100155</v>
      </c>
    </row>
    <row r="69" spans="1:8" s="66" customFormat="1" ht="21" customHeight="1">
      <c r="A69" s="64" t="s">
        <v>161</v>
      </c>
      <c r="B69" s="65" t="s">
        <v>160</v>
      </c>
      <c r="C69" s="6">
        <f>2904000000+151000000+3000000</f>
        <v>3058000000</v>
      </c>
      <c r="D69" s="6">
        <f>D70+D77+D84</f>
        <v>3059999999.8000002</v>
      </c>
      <c r="E69" s="6">
        <f>E70+E77+E84</f>
        <v>0</v>
      </c>
      <c r="F69" s="6">
        <f>F70+F77+F84</f>
        <v>3059999999.8000002</v>
      </c>
      <c r="G69" s="6">
        <f>G70+G77+G84</f>
        <v>3073004352</v>
      </c>
      <c r="H69" s="112">
        <f>G69/F69*100</f>
        <v>100.42497883009314</v>
      </c>
    </row>
    <row r="70" spans="1:8" s="66" customFormat="1" ht="21" customHeight="1">
      <c r="A70" s="64"/>
      <c r="B70" s="67" t="s">
        <v>67</v>
      </c>
      <c r="C70" s="6"/>
      <c r="D70" s="6">
        <f>SUM(D71:D76)</f>
        <v>2067714779.8</v>
      </c>
      <c r="E70" s="6">
        <f>SUM(E71:E76)</f>
        <v>0</v>
      </c>
      <c r="F70" s="6">
        <f>SUM(F71:F76)</f>
        <v>2067714779.8</v>
      </c>
      <c r="G70" s="6">
        <f>SUM(G71:G76)</f>
        <v>2178959300</v>
      </c>
      <c r="H70" s="115"/>
    </row>
    <row r="71" spans="1:8" s="45" customFormat="1" ht="21" customHeight="1">
      <c r="A71" s="55"/>
      <c r="B71" s="68" t="s">
        <v>146</v>
      </c>
      <c r="C71" s="44"/>
      <c r="D71" s="44">
        <f>(76.369*1390000*12)+(76.369*1390000*12*21.5%)-31602248</f>
        <v>1516107179.8</v>
      </c>
      <c r="E71" s="58"/>
      <c r="F71" s="44">
        <f t="shared" si="0"/>
        <v>1516107179.8</v>
      </c>
      <c r="G71" s="44">
        <f>1692028400-G87</f>
        <v>1663672400</v>
      </c>
      <c r="H71" s="116"/>
    </row>
    <row r="72" spans="1:8" s="45" customFormat="1" ht="21" customHeight="1">
      <c r="A72" s="55"/>
      <c r="B72" s="68" t="s">
        <v>44</v>
      </c>
      <c r="C72" s="44"/>
      <c r="D72" s="44">
        <f>18.4*1390000*12</f>
        <v>306911999.99999994</v>
      </c>
      <c r="E72" s="58"/>
      <c r="F72" s="44">
        <f t="shared" si="0"/>
        <v>306911999.99999994</v>
      </c>
      <c r="G72" s="44">
        <f>(200.97*1390000)</f>
        <v>279348300</v>
      </c>
      <c r="H72" s="116"/>
    </row>
    <row r="73" spans="1:8" s="45" customFormat="1" ht="21" customHeight="1">
      <c r="A73" s="55"/>
      <c r="B73" s="68" t="s">
        <v>45</v>
      </c>
      <c r="C73" s="44"/>
      <c r="D73" s="44">
        <f>2.67*1390000*12</f>
        <v>44535600</v>
      </c>
      <c r="E73" s="58"/>
      <c r="F73" s="44">
        <f t="shared" si="0"/>
        <v>44535600</v>
      </c>
      <c r="G73" s="44">
        <f>(2.67*1390000*12)</f>
        <v>44535600</v>
      </c>
      <c r="H73" s="116"/>
    </row>
    <row r="74" spans="1:8" s="45" customFormat="1" ht="21" customHeight="1">
      <c r="A74" s="55"/>
      <c r="B74" s="68" t="s">
        <v>46</v>
      </c>
      <c r="C74" s="44"/>
      <c r="D74" s="44">
        <f>4.5*1390000*12</f>
        <v>75060000</v>
      </c>
      <c r="E74" s="58"/>
      <c r="F74" s="44">
        <f t="shared" si="0"/>
        <v>75060000</v>
      </c>
      <c r="G74" s="44">
        <f>5421000*12+417000*3</f>
        <v>66303000</v>
      </c>
      <c r="H74" s="116"/>
    </row>
    <row r="75" spans="1:8" s="45" customFormat="1" ht="21" customHeight="1">
      <c r="A75" s="55"/>
      <c r="B75" s="68" t="s">
        <v>68</v>
      </c>
      <c r="C75" s="44"/>
      <c r="D75" s="44">
        <f>6.9*1390000*12</f>
        <v>115092000</v>
      </c>
      <c r="E75" s="58"/>
      <c r="F75" s="44">
        <f t="shared" si="0"/>
        <v>115092000</v>
      </c>
      <c r="G75" s="44">
        <f>9591000*12</f>
        <v>115092000</v>
      </c>
      <c r="H75" s="116"/>
    </row>
    <row r="76" spans="1:8" s="45" customFormat="1" ht="21" customHeight="1">
      <c r="A76" s="55"/>
      <c r="B76" s="68" t="s">
        <v>69</v>
      </c>
      <c r="C76" s="44"/>
      <c r="D76" s="44">
        <f>0.6*1390000*12</f>
        <v>10008000</v>
      </c>
      <c r="E76" s="58"/>
      <c r="F76" s="44">
        <f t="shared" si="0"/>
        <v>10008000</v>
      </c>
      <c r="G76" s="44">
        <f>834000*12</f>
        <v>10008000</v>
      </c>
      <c r="H76" s="116"/>
    </row>
    <row r="77" spans="1:8" s="66" customFormat="1" ht="21" customHeight="1">
      <c r="A77" s="64"/>
      <c r="B77" s="67" t="s">
        <v>70</v>
      </c>
      <c r="C77" s="6"/>
      <c r="D77" s="6">
        <f>D78+D79+D80+D81+D82+D83</f>
        <v>892086792</v>
      </c>
      <c r="E77" s="6">
        <f>E78+E79+E80+E81+E82+E83</f>
        <v>0</v>
      </c>
      <c r="F77" s="6">
        <f>F78+F79+F80+F81+F82+F83</f>
        <v>892086792</v>
      </c>
      <c r="G77" s="6">
        <f>G78+G79+G80+G81+G82+G83</f>
        <v>809385612</v>
      </c>
      <c r="H77" s="115"/>
    </row>
    <row r="78" spans="1:8" s="45" customFormat="1" ht="21" customHeight="1">
      <c r="A78" s="55"/>
      <c r="B78" s="68" t="s">
        <v>47</v>
      </c>
      <c r="C78" s="44"/>
      <c r="D78" s="44">
        <f>45*1390000*12</f>
        <v>750600000</v>
      </c>
      <c r="E78" s="58"/>
      <c r="F78" s="44">
        <f t="shared" si="0"/>
        <v>750600000</v>
      </c>
      <c r="G78" s="44">
        <v>680003700</v>
      </c>
      <c r="H78" s="116"/>
    </row>
    <row r="79" spans="1:8" s="45" customFormat="1" ht="21" customHeight="1">
      <c r="A79" s="55"/>
      <c r="B79" s="68" t="s">
        <v>51</v>
      </c>
      <c r="C79" s="44"/>
      <c r="D79" s="44">
        <v>20400000</v>
      </c>
      <c r="E79" s="58"/>
      <c r="F79" s="44">
        <f t="shared" si="0"/>
        <v>20400000</v>
      </c>
      <c r="G79" s="44">
        <f>1200000*12</f>
        <v>14400000</v>
      </c>
      <c r="H79" s="116"/>
    </row>
    <row r="80" spans="1:8" s="45" customFormat="1" ht="21" customHeight="1">
      <c r="A80" s="55"/>
      <c r="B80" s="68" t="s">
        <v>48</v>
      </c>
      <c r="C80" s="44"/>
      <c r="D80" s="44">
        <f>4.76*1390000*12</f>
        <v>79396800</v>
      </c>
      <c r="E80" s="58"/>
      <c r="F80" s="44">
        <f t="shared" si="0"/>
        <v>79396800</v>
      </c>
      <c r="G80" s="44">
        <f>6616400*12</f>
        <v>79396800</v>
      </c>
      <c r="H80" s="116"/>
    </row>
    <row r="81" spans="1:8" s="45" customFormat="1" ht="21" customHeight="1">
      <c r="A81" s="55"/>
      <c r="B81" s="68" t="s">
        <v>50</v>
      </c>
      <c r="C81" s="44"/>
      <c r="D81" s="44">
        <f>1.57*1390000*12</f>
        <v>26187600</v>
      </c>
      <c r="E81" s="58"/>
      <c r="F81" s="44">
        <f t="shared" si="0"/>
        <v>26187600</v>
      </c>
      <c r="G81" s="44">
        <f>2182300*12</f>
        <v>26187600</v>
      </c>
      <c r="H81" s="116"/>
    </row>
    <row r="82" spans="1:8" s="45" customFormat="1" ht="21" customHeight="1">
      <c r="A82" s="55"/>
      <c r="B82" s="68" t="s">
        <v>49</v>
      </c>
      <c r="C82" s="44"/>
      <c r="D82" s="44">
        <f>0.234*1390000*12</f>
        <v>3903120</v>
      </c>
      <c r="E82" s="58"/>
      <c r="F82" s="44">
        <f t="shared" si="0"/>
        <v>3903120</v>
      </c>
      <c r="G82" s="44">
        <f>325260*12</f>
        <v>3903120</v>
      </c>
      <c r="H82" s="116"/>
    </row>
    <row r="83" spans="1:8" s="38" customFormat="1" ht="21" customHeight="1">
      <c r="A83" s="56"/>
      <c r="B83" s="68" t="s">
        <v>148</v>
      </c>
      <c r="C83" s="44"/>
      <c r="D83" s="44">
        <f>0.6954*1390000*12</f>
        <v>11599272</v>
      </c>
      <c r="E83" s="58"/>
      <c r="F83" s="44">
        <f t="shared" si="0"/>
        <v>11599272</v>
      </c>
      <c r="G83" s="44">
        <f>915732*6</f>
        <v>5494392</v>
      </c>
      <c r="H83" s="113"/>
    </row>
    <row r="84" spans="1:8" s="66" customFormat="1" ht="21" customHeight="1">
      <c r="A84" s="64"/>
      <c r="B84" s="67" t="s">
        <v>166</v>
      </c>
      <c r="C84" s="6"/>
      <c r="D84" s="6">
        <f>D85+D86+D87+D88</f>
        <v>100198428</v>
      </c>
      <c r="E84" s="6">
        <f>E85+E86+E87+E88</f>
        <v>0</v>
      </c>
      <c r="F84" s="6">
        <f>F85+F86+F87+F88</f>
        <v>100198428</v>
      </c>
      <c r="G84" s="6">
        <f>G85+G86+G87+G88</f>
        <v>84659440</v>
      </c>
      <c r="H84" s="115"/>
    </row>
    <row r="85" spans="1:8" s="45" customFormat="1" ht="21" customHeight="1">
      <c r="A85" s="55"/>
      <c r="B85" s="68" t="s">
        <v>167</v>
      </c>
      <c r="C85" s="44"/>
      <c r="D85" s="44">
        <f>71.52*1390000*2%*12</f>
        <v>23859072</v>
      </c>
      <c r="E85" s="58"/>
      <c r="F85" s="44">
        <f t="shared" si="0"/>
        <v>23859072</v>
      </c>
      <c r="G85" s="44">
        <v>22498084</v>
      </c>
      <c r="H85" s="111"/>
    </row>
    <row r="86" spans="1:8" s="45" customFormat="1" ht="21" customHeight="1">
      <c r="A86" s="55"/>
      <c r="B86" s="68" t="s">
        <v>168</v>
      </c>
      <c r="C86" s="44"/>
      <c r="D86" s="44">
        <f>2.67*1390000*1%*12</f>
        <v>445356</v>
      </c>
      <c r="E86" s="58"/>
      <c r="F86" s="44">
        <f t="shared" si="0"/>
        <v>445356</v>
      </c>
      <c r="G86" s="44">
        <f>2.67*1390000*12*1%</f>
        <v>445356</v>
      </c>
      <c r="H86" s="116"/>
    </row>
    <row r="87" spans="1:8" s="45" customFormat="1" ht="31.5">
      <c r="A87" s="55"/>
      <c r="B87" s="68" t="s">
        <v>169</v>
      </c>
      <c r="C87" s="44"/>
      <c r="D87" s="44">
        <f>15*1390000*17%*12</f>
        <v>42534000.000000007</v>
      </c>
      <c r="E87" s="58"/>
      <c r="F87" s="44">
        <f t="shared" ref="F87:F151" si="2">D87-E87</f>
        <v>42534000.000000007</v>
      </c>
      <c r="G87" s="44">
        <f>10*1390000*12*17%</f>
        <v>28356000.000000004</v>
      </c>
      <c r="H87" s="116"/>
    </row>
    <row r="88" spans="1:8" s="45" customFormat="1" ht="18" customHeight="1">
      <c r="A88" s="55"/>
      <c r="B88" s="68" t="s">
        <v>61</v>
      </c>
      <c r="C88" s="44"/>
      <c r="D88" s="44">
        <f>2*1390000*12</f>
        <v>33360000</v>
      </c>
      <c r="E88" s="58"/>
      <c r="F88" s="44">
        <f t="shared" si="2"/>
        <v>33360000</v>
      </c>
      <c r="G88" s="44">
        <f>1390000*2*12</f>
        <v>33360000</v>
      </c>
      <c r="H88" s="116"/>
    </row>
    <row r="89" spans="1:8" s="38" customFormat="1" ht="18" customHeight="1">
      <c r="A89" s="56" t="s">
        <v>162</v>
      </c>
      <c r="B89" s="57" t="s">
        <v>99</v>
      </c>
      <c r="C89" s="58">
        <v>373000000</v>
      </c>
      <c r="D89" s="58">
        <v>373000000</v>
      </c>
      <c r="E89" s="58"/>
      <c r="F89" s="44">
        <f t="shared" si="2"/>
        <v>373000000</v>
      </c>
      <c r="G89" s="44"/>
      <c r="H89" s="113"/>
    </row>
    <row r="90" spans="1:8" s="38" customFormat="1" ht="18" customHeight="1">
      <c r="A90" s="56" t="s">
        <v>163</v>
      </c>
      <c r="B90" s="57" t="s">
        <v>40</v>
      </c>
      <c r="C90" s="58">
        <f>C97+C91</f>
        <v>453000000</v>
      </c>
      <c r="D90" s="58">
        <f>D97+D91</f>
        <v>479000000</v>
      </c>
      <c r="E90" s="58">
        <f>E97+E91</f>
        <v>43760000</v>
      </c>
      <c r="F90" s="58">
        <f>F97+F91</f>
        <v>435240000</v>
      </c>
      <c r="G90" s="58">
        <f>G97+G91</f>
        <v>396820000</v>
      </c>
      <c r="H90" s="113">
        <f>G90/F90*100</f>
        <v>91.172686333976657</v>
      </c>
    </row>
    <row r="91" spans="1:8" s="66" customFormat="1" ht="18" customHeight="1">
      <c r="A91" s="64" t="s">
        <v>170</v>
      </c>
      <c r="B91" s="69" t="s">
        <v>83</v>
      </c>
      <c r="C91" s="58">
        <v>394000000</v>
      </c>
      <c r="D91" s="6">
        <f>SUM(D92:D96)</f>
        <v>412000000</v>
      </c>
      <c r="E91" s="6">
        <f>SUM(E92:E96)</f>
        <v>37060000</v>
      </c>
      <c r="F91" s="6">
        <f>SUM(F92:F96)</f>
        <v>374940000</v>
      </c>
      <c r="G91" s="6">
        <f>SUM(G92:G96)</f>
        <v>336520000</v>
      </c>
      <c r="H91" s="113">
        <f>G91/F91*100</f>
        <v>89.753027151010826</v>
      </c>
    </row>
    <row r="92" spans="1:8" s="45" customFormat="1" ht="21" customHeight="1">
      <c r="A92" s="55"/>
      <c r="B92" s="70" t="s">
        <v>84</v>
      </c>
      <c r="C92" s="44"/>
      <c r="D92" s="44">
        <v>50000000</v>
      </c>
      <c r="E92" s="44">
        <f>D92*10%</f>
        <v>5000000</v>
      </c>
      <c r="F92" s="44">
        <f t="shared" si="2"/>
        <v>45000000</v>
      </c>
      <c r="G92" s="44">
        <v>45000000</v>
      </c>
      <c r="H92" s="113">
        <f t="shared" ref="H92:H112" si="3">G92/F92*100</f>
        <v>100</v>
      </c>
    </row>
    <row r="93" spans="1:8" s="45" customFormat="1" ht="22.5" customHeight="1">
      <c r="A93" s="55"/>
      <c r="B93" s="70" t="s">
        <v>85</v>
      </c>
      <c r="C93" s="44"/>
      <c r="D93" s="44">
        <f>394000000-D94-D92-D95-D96+50000000-12000000-5000000-15000000</f>
        <v>260600000</v>
      </c>
      <c r="E93" s="44">
        <f>D93*10%</f>
        <v>26060000</v>
      </c>
      <c r="F93" s="44">
        <f t="shared" si="2"/>
        <v>234540000</v>
      </c>
      <c r="G93" s="44">
        <v>234540000</v>
      </c>
      <c r="H93" s="113">
        <f t="shared" si="3"/>
        <v>100</v>
      </c>
    </row>
    <row r="94" spans="1:8" s="45" customFormat="1" ht="21" customHeight="1">
      <c r="A94" s="55"/>
      <c r="B94" s="70" t="s">
        <v>100</v>
      </c>
      <c r="C94" s="44"/>
      <c r="D94" s="44">
        <v>40000000</v>
      </c>
      <c r="E94" s="44">
        <f>D94*10%</f>
        <v>4000000</v>
      </c>
      <c r="F94" s="44">
        <f t="shared" si="2"/>
        <v>36000000</v>
      </c>
      <c r="G94" s="44">
        <v>15000000</v>
      </c>
      <c r="H94" s="113">
        <f t="shared" si="3"/>
        <v>41.666666666666671</v>
      </c>
    </row>
    <row r="95" spans="1:8" s="45" customFormat="1" ht="21" customHeight="1">
      <c r="A95" s="55"/>
      <c r="B95" s="70" t="s">
        <v>101</v>
      </c>
      <c r="C95" s="44"/>
      <c r="D95" s="44">
        <f>23*1800000</f>
        <v>41400000</v>
      </c>
      <c r="E95" s="44"/>
      <c r="F95" s="44">
        <f t="shared" si="2"/>
        <v>41400000</v>
      </c>
      <c r="G95" s="44">
        <v>38700000</v>
      </c>
      <c r="H95" s="113">
        <f t="shared" si="3"/>
        <v>93.478260869565219</v>
      </c>
    </row>
    <row r="96" spans="1:8" s="45" customFormat="1" ht="21" customHeight="1">
      <c r="A96" s="55"/>
      <c r="B96" s="70" t="s">
        <v>102</v>
      </c>
      <c r="C96" s="44"/>
      <c r="D96" s="44">
        <v>20000000</v>
      </c>
      <c r="E96" s="44">
        <f>D96*10%</f>
        <v>2000000</v>
      </c>
      <c r="F96" s="44">
        <f t="shared" si="2"/>
        <v>18000000</v>
      </c>
      <c r="G96" s="44">
        <v>3280000</v>
      </c>
      <c r="H96" s="113">
        <f t="shared" si="3"/>
        <v>18.222222222222221</v>
      </c>
    </row>
    <row r="97" spans="1:8" s="66" customFormat="1" ht="23.25" customHeight="1">
      <c r="A97" s="64" t="s">
        <v>171</v>
      </c>
      <c r="B97" s="69" t="s">
        <v>66</v>
      </c>
      <c r="C97" s="58">
        <v>59000000</v>
      </c>
      <c r="D97" s="6">
        <f>59000000+5000000+3000000</f>
        <v>67000000</v>
      </c>
      <c r="E97" s="58">
        <f>D97*10%</f>
        <v>6700000</v>
      </c>
      <c r="F97" s="58">
        <f t="shared" si="2"/>
        <v>60300000</v>
      </c>
      <c r="G97" s="58">
        <v>60300000</v>
      </c>
      <c r="H97" s="113">
        <f t="shared" si="3"/>
        <v>100</v>
      </c>
    </row>
    <row r="98" spans="1:8" s="66" customFormat="1" ht="33" customHeight="1">
      <c r="A98" s="64" t="s">
        <v>124</v>
      </c>
      <c r="B98" s="65" t="s">
        <v>103</v>
      </c>
      <c r="C98" s="58">
        <f>C99+C105</f>
        <v>120000000</v>
      </c>
      <c r="D98" s="6">
        <f>D99+D105</f>
        <v>125000000</v>
      </c>
      <c r="E98" s="6">
        <f>E99+E105</f>
        <v>8000000</v>
      </c>
      <c r="F98" s="6">
        <f>F99+F105</f>
        <v>117000000</v>
      </c>
      <c r="G98" s="6">
        <f>G99+G105</f>
        <v>119723000</v>
      </c>
      <c r="H98" s="113">
        <f t="shared" si="3"/>
        <v>102.32735042735041</v>
      </c>
    </row>
    <row r="99" spans="1:8" s="38" customFormat="1" ht="37.5" customHeight="1">
      <c r="A99" s="56" t="s">
        <v>164</v>
      </c>
      <c r="B99" s="57" t="s">
        <v>127</v>
      </c>
      <c r="C99" s="58">
        <f>SUM(C100:C104)</f>
        <v>67500000</v>
      </c>
      <c r="D99" s="58">
        <f>SUM(D100:D104)</f>
        <v>80000000</v>
      </c>
      <c r="E99" s="58">
        <f>SUM(E100:E104)</f>
        <v>8000000</v>
      </c>
      <c r="F99" s="58">
        <f>SUM(F100:F104)</f>
        <v>72000000</v>
      </c>
      <c r="G99" s="58">
        <f>SUM(G100:G104)</f>
        <v>74723000</v>
      </c>
      <c r="H99" s="113">
        <f t="shared" si="3"/>
        <v>103.78194444444443</v>
      </c>
    </row>
    <row r="100" spans="1:8" s="72" customFormat="1" ht="24" customHeight="1">
      <c r="A100" s="71"/>
      <c r="B100" s="5" t="s">
        <v>104</v>
      </c>
      <c r="C100" s="44">
        <v>13500000</v>
      </c>
      <c r="D100" s="46">
        <v>16000000</v>
      </c>
      <c r="E100" s="44">
        <f>D100*10%</f>
        <v>1600000</v>
      </c>
      <c r="F100" s="44">
        <f t="shared" si="2"/>
        <v>14400000</v>
      </c>
      <c r="G100" s="44">
        <v>16244000</v>
      </c>
      <c r="H100" s="113">
        <f t="shared" si="3"/>
        <v>112.80555555555556</v>
      </c>
    </row>
    <row r="101" spans="1:8" s="72" customFormat="1" ht="24" customHeight="1">
      <c r="A101" s="71"/>
      <c r="B101" s="5" t="s">
        <v>105</v>
      </c>
      <c r="C101" s="44">
        <v>13500000</v>
      </c>
      <c r="D101" s="46">
        <v>16000000</v>
      </c>
      <c r="E101" s="44">
        <f>D101*10%</f>
        <v>1600000</v>
      </c>
      <c r="F101" s="44">
        <f t="shared" si="2"/>
        <v>14400000</v>
      </c>
      <c r="G101" s="44">
        <v>15279000</v>
      </c>
      <c r="H101" s="113">
        <f t="shared" si="3"/>
        <v>106.10416666666667</v>
      </c>
    </row>
    <row r="102" spans="1:8" s="72" customFormat="1" ht="24" customHeight="1">
      <c r="A102" s="71"/>
      <c r="B102" s="5" t="s">
        <v>106</v>
      </c>
      <c r="C102" s="44">
        <v>13500000</v>
      </c>
      <c r="D102" s="46">
        <v>16000000</v>
      </c>
      <c r="E102" s="44">
        <f>D102*10%</f>
        <v>1600000</v>
      </c>
      <c r="F102" s="44">
        <f t="shared" si="2"/>
        <v>14400000</v>
      </c>
      <c r="G102" s="44">
        <v>14400000</v>
      </c>
      <c r="H102" s="113">
        <f t="shared" si="3"/>
        <v>100</v>
      </c>
    </row>
    <row r="103" spans="1:8" s="72" customFormat="1" ht="24" customHeight="1">
      <c r="A103" s="71"/>
      <c r="B103" s="5" t="s">
        <v>107</v>
      </c>
      <c r="C103" s="44">
        <v>13500000</v>
      </c>
      <c r="D103" s="46">
        <v>16000000</v>
      </c>
      <c r="E103" s="44">
        <f>D103*10%</f>
        <v>1600000</v>
      </c>
      <c r="F103" s="44">
        <f t="shared" si="2"/>
        <v>14400000</v>
      </c>
      <c r="G103" s="44">
        <v>14400000</v>
      </c>
      <c r="H103" s="113">
        <f t="shared" si="3"/>
        <v>100</v>
      </c>
    </row>
    <row r="104" spans="1:8" s="72" customFormat="1" ht="24" customHeight="1">
      <c r="A104" s="71"/>
      <c r="B104" s="5" t="s">
        <v>108</v>
      </c>
      <c r="C104" s="44">
        <v>13500000</v>
      </c>
      <c r="D104" s="46">
        <v>16000000</v>
      </c>
      <c r="E104" s="44">
        <f>D104*10%</f>
        <v>1600000</v>
      </c>
      <c r="F104" s="44">
        <f t="shared" si="2"/>
        <v>14400000</v>
      </c>
      <c r="G104" s="44">
        <v>14400000</v>
      </c>
      <c r="H104" s="113">
        <f t="shared" si="3"/>
        <v>100</v>
      </c>
    </row>
    <row r="105" spans="1:8" s="38" customFormat="1" ht="24.75" customHeight="1">
      <c r="A105" s="56" t="s">
        <v>165</v>
      </c>
      <c r="B105" s="57" t="s">
        <v>158</v>
      </c>
      <c r="C105" s="58">
        <v>52500000</v>
      </c>
      <c r="D105" s="58">
        <f>1500000*6*5</f>
        <v>45000000</v>
      </c>
      <c r="E105" s="58"/>
      <c r="F105" s="44">
        <f t="shared" si="2"/>
        <v>45000000</v>
      </c>
      <c r="G105" s="44">
        <v>45000000</v>
      </c>
      <c r="H105" s="113">
        <f t="shared" si="3"/>
        <v>100</v>
      </c>
    </row>
    <row r="106" spans="1:8" s="66" customFormat="1" ht="36.75" customHeight="1">
      <c r="A106" s="64" t="s">
        <v>128</v>
      </c>
      <c r="B106" s="65" t="s">
        <v>173</v>
      </c>
      <c r="C106" s="58">
        <v>18000000</v>
      </c>
      <c r="D106" s="6">
        <v>18000000</v>
      </c>
      <c r="E106" s="58">
        <f>D106*10%</f>
        <v>1800000</v>
      </c>
      <c r="F106" s="58">
        <f t="shared" si="2"/>
        <v>16200000</v>
      </c>
      <c r="G106" s="58">
        <v>16200000</v>
      </c>
      <c r="H106" s="113">
        <f t="shared" si="3"/>
        <v>100</v>
      </c>
    </row>
    <row r="107" spans="1:8" s="38" customFormat="1" ht="22.5" customHeight="1">
      <c r="A107" s="56" t="s">
        <v>129</v>
      </c>
      <c r="B107" s="57" t="s">
        <v>111</v>
      </c>
      <c r="C107" s="58">
        <v>3000000</v>
      </c>
      <c r="D107" s="58">
        <v>3000000</v>
      </c>
      <c r="E107" s="58">
        <f>D107*10%</f>
        <v>300000</v>
      </c>
      <c r="F107" s="58">
        <f t="shared" si="2"/>
        <v>2700000</v>
      </c>
      <c r="G107" s="58">
        <v>2700000</v>
      </c>
      <c r="H107" s="113">
        <f t="shared" si="3"/>
        <v>100</v>
      </c>
    </row>
    <row r="108" spans="1:8" s="38" customFormat="1" ht="22.5" customHeight="1">
      <c r="A108" s="56" t="s">
        <v>130</v>
      </c>
      <c r="B108" s="57" t="s">
        <v>55</v>
      </c>
      <c r="C108" s="58"/>
      <c r="D108" s="58">
        <v>7000000</v>
      </c>
      <c r="E108" s="58"/>
      <c r="F108" s="58">
        <f t="shared" si="2"/>
        <v>7000000</v>
      </c>
      <c r="G108" s="58">
        <f>9250000+600000+600000+600000+900000</f>
        <v>11950000</v>
      </c>
      <c r="H108" s="113">
        <f t="shared" si="3"/>
        <v>170.71428571428569</v>
      </c>
    </row>
    <row r="109" spans="1:8" s="38" customFormat="1" ht="22.5" customHeight="1">
      <c r="A109" s="56" t="s">
        <v>131</v>
      </c>
      <c r="B109" s="57" t="s">
        <v>185</v>
      </c>
      <c r="C109" s="58"/>
      <c r="D109" s="58">
        <v>3000000</v>
      </c>
      <c r="E109" s="58">
        <f>D109*10%</f>
        <v>300000</v>
      </c>
      <c r="F109" s="58">
        <f t="shared" si="2"/>
        <v>2700000</v>
      </c>
      <c r="G109" s="58">
        <v>2700000</v>
      </c>
      <c r="H109" s="113">
        <f t="shared" si="3"/>
        <v>100</v>
      </c>
    </row>
    <row r="110" spans="1:8" s="38" customFormat="1" ht="22.5" customHeight="1">
      <c r="A110" s="56" t="s">
        <v>132</v>
      </c>
      <c r="B110" s="57" t="s">
        <v>186</v>
      </c>
      <c r="C110" s="58"/>
      <c r="D110" s="58">
        <v>10000000</v>
      </c>
      <c r="E110" s="58">
        <f>D110*10%</f>
        <v>1000000</v>
      </c>
      <c r="F110" s="58">
        <f t="shared" si="2"/>
        <v>9000000</v>
      </c>
      <c r="G110" s="58">
        <v>13000000</v>
      </c>
      <c r="H110" s="113">
        <f t="shared" si="3"/>
        <v>144.44444444444443</v>
      </c>
    </row>
    <row r="111" spans="1:8" s="38" customFormat="1" ht="22.5" customHeight="1">
      <c r="A111" s="56" t="s">
        <v>187</v>
      </c>
      <c r="B111" s="57" t="s">
        <v>189</v>
      </c>
      <c r="C111" s="58"/>
      <c r="D111" s="58">
        <v>5000000</v>
      </c>
      <c r="E111" s="58"/>
      <c r="F111" s="58">
        <f t="shared" si="2"/>
        <v>5000000</v>
      </c>
      <c r="G111" s="58">
        <v>5000000</v>
      </c>
      <c r="H111" s="113">
        <f t="shared" si="3"/>
        <v>100</v>
      </c>
    </row>
    <row r="112" spans="1:8" s="38" customFormat="1" ht="22.5" customHeight="1">
      <c r="A112" s="56" t="s">
        <v>188</v>
      </c>
      <c r="B112" s="57" t="s">
        <v>32</v>
      </c>
      <c r="C112" s="58">
        <v>21000000</v>
      </c>
      <c r="D112" s="59">
        <v>21000000</v>
      </c>
      <c r="E112" s="59">
        <f>D112*10%-160000</f>
        <v>1940000</v>
      </c>
      <c r="F112" s="59">
        <f t="shared" si="2"/>
        <v>19060000</v>
      </c>
      <c r="G112" s="59">
        <v>19060000</v>
      </c>
      <c r="H112" s="113">
        <f t="shared" si="3"/>
        <v>100</v>
      </c>
    </row>
    <row r="113" spans="1:8" s="66" customFormat="1" ht="19.5" customHeight="1">
      <c r="A113" s="41" t="s">
        <v>4</v>
      </c>
      <c r="B113" s="74" t="s">
        <v>52</v>
      </c>
      <c r="C113" s="75">
        <v>130000000</v>
      </c>
      <c r="D113" s="75">
        <v>130000000</v>
      </c>
      <c r="E113" s="75"/>
      <c r="F113" s="39">
        <f t="shared" si="2"/>
        <v>130000000</v>
      </c>
      <c r="G113" s="39">
        <v>125000000</v>
      </c>
      <c r="H113" s="117">
        <f>G113/F113*100</f>
        <v>96.15384615384616</v>
      </c>
    </row>
    <row r="114" spans="1:8" s="66" customFormat="1" ht="19.5" customHeight="1">
      <c r="A114" s="41" t="s">
        <v>27</v>
      </c>
      <c r="B114" s="74" t="s">
        <v>126</v>
      </c>
      <c r="C114" s="75"/>
      <c r="D114" s="75"/>
      <c r="E114" s="75"/>
      <c r="F114" s="39"/>
      <c r="G114" s="39">
        <f>SUM(G115:G134)</f>
        <v>1324401000</v>
      </c>
      <c r="H114" s="117"/>
    </row>
    <row r="115" spans="1:8" s="38" customFormat="1" ht="33.75" customHeight="1">
      <c r="A115" s="100">
        <v>1</v>
      </c>
      <c r="B115" s="132" t="s">
        <v>206</v>
      </c>
      <c r="C115" s="101"/>
      <c r="D115" s="101"/>
      <c r="E115" s="101"/>
      <c r="F115" s="101"/>
      <c r="G115" s="101">
        <v>25000000</v>
      </c>
      <c r="H115" s="118"/>
    </row>
    <row r="116" spans="1:8" s="38" customFormat="1" ht="37.5" customHeight="1">
      <c r="A116" s="100">
        <v>2</v>
      </c>
      <c r="B116" s="132" t="s">
        <v>207</v>
      </c>
      <c r="C116" s="101"/>
      <c r="D116" s="101"/>
      <c r="E116" s="101"/>
      <c r="F116" s="101"/>
      <c r="G116" s="101">
        <v>9000000</v>
      </c>
      <c r="H116" s="118"/>
    </row>
    <row r="117" spans="1:8" s="38" customFormat="1" ht="20.25" customHeight="1">
      <c r="A117" s="100">
        <v>3</v>
      </c>
      <c r="B117" s="132" t="s">
        <v>208</v>
      </c>
      <c r="C117" s="101"/>
      <c r="D117" s="101"/>
      <c r="E117" s="101"/>
      <c r="F117" s="101"/>
      <c r="G117" s="101">
        <v>4000000</v>
      </c>
      <c r="H117" s="118"/>
    </row>
    <row r="118" spans="1:8" s="38" customFormat="1" ht="35.25" customHeight="1">
      <c r="A118" s="100">
        <v>4</v>
      </c>
      <c r="B118" s="132" t="s">
        <v>209</v>
      </c>
      <c r="C118" s="101"/>
      <c r="D118" s="101"/>
      <c r="E118" s="101"/>
      <c r="F118" s="101"/>
      <c r="G118" s="101">
        <v>60000000</v>
      </c>
      <c r="H118" s="118"/>
    </row>
    <row r="119" spans="1:8" s="38" customFormat="1" ht="35.25" customHeight="1">
      <c r="A119" s="100">
        <v>5</v>
      </c>
      <c r="B119" s="132" t="s">
        <v>210</v>
      </c>
      <c r="C119" s="101"/>
      <c r="D119" s="101"/>
      <c r="E119" s="101"/>
      <c r="F119" s="101"/>
      <c r="G119" s="101">
        <v>130000000</v>
      </c>
      <c r="H119" s="118"/>
    </row>
    <row r="120" spans="1:8" s="38" customFormat="1" ht="35.25" customHeight="1">
      <c r="A120" s="100">
        <v>6</v>
      </c>
      <c r="B120" s="132" t="s">
        <v>211</v>
      </c>
      <c r="C120" s="101"/>
      <c r="D120" s="101"/>
      <c r="E120" s="101"/>
      <c r="F120" s="101"/>
      <c r="G120" s="101">
        <v>30000000</v>
      </c>
      <c r="H120" s="118"/>
    </row>
    <row r="121" spans="1:8" s="38" customFormat="1" ht="35.25" customHeight="1">
      <c r="A121" s="100">
        <v>7</v>
      </c>
      <c r="B121" s="132" t="s">
        <v>212</v>
      </c>
      <c r="C121" s="101"/>
      <c r="D121" s="101"/>
      <c r="E121" s="101"/>
      <c r="F121" s="101"/>
      <c r="G121" s="101">
        <v>64000000</v>
      </c>
      <c r="H121" s="118"/>
    </row>
    <row r="122" spans="1:8" s="38" customFormat="1" ht="35.25" customHeight="1">
      <c r="A122" s="100">
        <v>8</v>
      </c>
      <c r="B122" s="132" t="s">
        <v>213</v>
      </c>
      <c r="C122" s="101"/>
      <c r="D122" s="101"/>
      <c r="E122" s="101"/>
      <c r="F122" s="101"/>
      <c r="G122" s="101">
        <v>20000000</v>
      </c>
      <c r="H122" s="118"/>
    </row>
    <row r="123" spans="1:8" s="38" customFormat="1" ht="35.25" customHeight="1">
      <c r="A123" s="100">
        <v>9</v>
      </c>
      <c r="B123" s="132" t="s">
        <v>214</v>
      </c>
      <c r="C123" s="101"/>
      <c r="D123" s="101"/>
      <c r="E123" s="101"/>
      <c r="F123" s="101"/>
      <c r="G123" s="101">
        <v>80000000</v>
      </c>
      <c r="H123" s="118"/>
    </row>
    <row r="124" spans="1:8" s="38" customFormat="1" ht="35.25" customHeight="1">
      <c r="A124" s="100">
        <v>10</v>
      </c>
      <c r="B124" s="132" t="s">
        <v>215</v>
      </c>
      <c r="C124" s="101"/>
      <c r="D124" s="101"/>
      <c r="E124" s="101"/>
      <c r="F124" s="101"/>
      <c r="G124" s="101">
        <v>79250000</v>
      </c>
      <c r="H124" s="118"/>
    </row>
    <row r="125" spans="1:8" s="38" customFormat="1" ht="35.25" customHeight="1">
      <c r="A125" s="100">
        <v>11</v>
      </c>
      <c r="B125" s="132" t="s">
        <v>216</v>
      </c>
      <c r="C125" s="101"/>
      <c r="D125" s="101"/>
      <c r="E125" s="101"/>
      <c r="F125" s="101"/>
      <c r="G125" s="101">
        <v>100000000</v>
      </c>
      <c r="H125" s="118"/>
    </row>
    <row r="126" spans="1:8" s="38" customFormat="1" ht="35.25" customHeight="1">
      <c r="A126" s="100">
        <v>12</v>
      </c>
      <c r="B126" s="132" t="s">
        <v>217</v>
      </c>
      <c r="C126" s="101"/>
      <c r="D126" s="101"/>
      <c r="E126" s="101"/>
      <c r="F126" s="101"/>
      <c r="G126" s="101">
        <v>80000000</v>
      </c>
      <c r="H126" s="118"/>
    </row>
    <row r="127" spans="1:8" s="38" customFormat="1" ht="35.25" customHeight="1">
      <c r="A127" s="100">
        <v>13</v>
      </c>
      <c r="B127" s="132" t="s">
        <v>218</v>
      </c>
      <c r="C127" s="101"/>
      <c r="D127" s="101"/>
      <c r="E127" s="101"/>
      <c r="F127" s="101"/>
      <c r="G127" s="101">
        <v>76646000</v>
      </c>
      <c r="H127" s="118"/>
    </row>
    <row r="128" spans="1:8" s="38" customFormat="1" ht="35.25" customHeight="1">
      <c r="A128" s="100">
        <v>14</v>
      </c>
      <c r="B128" s="132" t="s">
        <v>219</v>
      </c>
      <c r="C128" s="101"/>
      <c r="D128" s="101"/>
      <c r="E128" s="101"/>
      <c r="F128" s="101"/>
      <c r="G128" s="101">
        <v>38000000</v>
      </c>
      <c r="H128" s="118"/>
    </row>
    <row r="129" spans="1:8" s="38" customFormat="1" ht="35.25" customHeight="1">
      <c r="A129" s="100">
        <v>15</v>
      </c>
      <c r="B129" s="132" t="s">
        <v>220</v>
      </c>
      <c r="C129" s="101"/>
      <c r="D129" s="101"/>
      <c r="E129" s="101"/>
      <c r="F129" s="101"/>
      <c r="G129" s="101">
        <v>20000000</v>
      </c>
      <c r="H129" s="118"/>
    </row>
    <row r="130" spans="1:8" s="38" customFormat="1" ht="35.25" customHeight="1">
      <c r="A130" s="100">
        <v>16</v>
      </c>
      <c r="B130" s="132" t="s">
        <v>221</v>
      </c>
      <c r="C130" s="101"/>
      <c r="D130" s="101"/>
      <c r="E130" s="101"/>
      <c r="F130" s="101"/>
      <c r="G130" s="101">
        <v>96141000</v>
      </c>
      <c r="H130" s="118"/>
    </row>
    <row r="131" spans="1:8" s="38" customFormat="1" ht="35.25" customHeight="1">
      <c r="A131" s="100">
        <v>17</v>
      </c>
      <c r="B131" s="132" t="s">
        <v>222</v>
      </c>
      <c r="C131" s="101"/>
      <c r="D131" s="101"/>
      <c r="E131" s="101"/>
      <c r="F131" s="101"/>
      <c r="G131" s="101">
        <v>10000000</v>
      </c>
      <c r="H131" s="118"/>
    </row>
    <row r="132" spans="1:8" s="38" customFormat="1" ht="35.25" customHeight="1">
      <c r="A132" s="100">
        <v>18</v>
      </c>
      <c r="B132" s="132" t="s">
        <v>228</v>
      </c>
      <c r="C132" s="101"/>
      <c r="D132" s="101"/>
      <c r="E132" s="101"/>
      <c r="F132" s="101"/>
      <c r="G132" s="101">
        <v>300000000</v>
      </c>
      <c r="H132" s="118"/>
    </row>
    <row r="133" spans="1:8" s="38" customFormat="1" ht="35.25" customHeight="1">
      <c r="A133" s="100">
        <v>19</v>
      </c>
      <c r="B133" s="132" t="s">
        <v>227</v>
      </c>
      <c r="C133" s="101"/>
      <c r="D133" s="101"/>
      <c r="E133" s="101"/>
      <c r="F133" s="101"/>
      <c r="G133" s="101">
        <v>92364000</v>
      </c>
      <c r="H133" s="118"/>
    </row>
    <row r="134" spans="1:8" s="38" customFormat="1" ht="35.25" customHeight="1">
      <c r="A134" s="100">
        <v>20</v>
      </c>
      <c r="B134" s="132" t="s">
        <v>231</v>
      </c>
      <c r="C134" s="101"/>
      <c r="D134" s="101"/>
      <c r="E134" s="101"/>
      <c r="F134" s="101"/>
      <c r="G134" s="101">
        <v>10000000</v>
      </c>
      <c r="H134" s="118"/>
    </row>
    <row r="135" spans="1:8" s="40" customFormat="1" ht="35.25" customHeight="1">
      <c r="A135" s="41" t="s">
        <v>5</v>
      </c>
      <c r="B135" s="51" t="s">
        <v>201</v>
      </c>
      <c r="C135" s="39"/>
      <c r="D135" s="39"/>
      <c r="E135" s="39"/>
      <c r="F135" s="39"/>
      <c r="G135" s="39">
        <f>G136+G137</f>
        <v>28950000</v>
      </c>
      <c r="H135" s="119"/>
    </row>
    <row r="136" spans="1:8" s="38" customFormat="1" ht="23.25" customHeight="1">
      <c r="A136" s="100">
        <v>1</v>
      </c>
      <c r="B136" s="92" t="s">
        <v>115</v>
      </c>
      <c r="C136" s="101"/>
      <c r="D136" s="101"/>
      <c r="E136" s="101"/>
      <c r="F136" s="101"/>
      <c r="G136" s="101">
        <v>28000000</v>
      </c>
      <c r="H136" s="118"/>
    </row>
    <row r="137" spans="1:8" s="48" customFormat="1" ht="23.25" customHeight="1">
      <c r="A137" s="56">
        <v>2</v>
      </c>
      <c r="B137" s="12" t="s">
        <v>247</v>
      </c>
      <c r="C137" s="90"/>
      <c r="D137" s="91"/>
      <c r="E137" s="91"/>
      <c r="F137" s="44"/>
      <c r="G137" s="58">
        <v>950000</v>
      </c>
      <c r="H137" s="123"/>
    </row>
    <row r="138" spans="1:8" s="66" customFormat="1" ht="19.5" customHeight="1">
      <c r="A138" s="41" t="s">
        <v>117</v>
      </c>
      <c r="B138" s="74" t="s">
        <v>53</v>
      </c>
      <c r="C138" s="75">
        <v>80000000</v>
      </c>
      <c r="D138" s="75">
        <f>D139+D140</f>
        <v>39778000</v>
      </c>
      <c r="E138" s="75">
        <f>E139+E140</f>
        <v>0</v>
      </c>
      <c r="F138" s="75">
        <f>F139+F140</f>
        <v>39778000</v>
      </c>
      <c r="G138" s="75">
        <f>G139+G140</f>
        <v>30365000</v>
      </c>
      <c r="H138" s="120">
        <f>G138/F138*100</f>
        <v>76.336165719744585</v>
      </c>
    </row>
    <row r="139" spans="1:8" s="45" customFormat="1" ht="19.5" customHeight="1">
      <c r="A139" s="148">
        <v>1</v>
      </c>
      <c r="B139" s="149" t="s">
        <v>113</v>
      </c>
      <c r="C139" s="150"/>
      <c r="D139" s="79">
        <v>2444000</v>
      </c>
      <c r="E139" s="79"/>
      <c r="F139" s="79">
        <f t="shared" si="2"/>
        <v>2444000</v>
      </c>
      <c r="G139" s="79"/>
      <c r="H139" s="151"/>
    </row>
    <row r="140" spans="1:8" s="45" customFormat="1" ht="19.5" customHeight="1">
      <c r="A140" s="152">
        <v>2</v>
      </c>
      <c r="B140" s="153" t="s">
        <v>114</v>
      </c>
      <c r="C140" s="102"/>
      <c r="D140" s="93">
        <v>37334000</v>
      </c>
      <c r="E140" s="93"/>
      <c r="F140" s="93">
        <f t="shared" si="2"/>
        <v>37334000</v>
      </c>
      <c r="G140" s="93">
        <f>8565000+21800000</f>
        <v>30365000</v>
      </c>
      <c r="H140" s="144"/>
    </row>
    <row r="141" spans="1:8" s="40" customFormat="1" ht="19.5" customHeight="1">
      <c r="A141" s="41" t="s">
        <v>180</v>
      </c>
      <c r="B141" s="51" t="s">
        <v>174</v>
      </c>
      <c r="C141" s="51"/>
      <c r="D141" s="76">
        <f>D142+D145+D148+D149</f>
        <v>806267632</v>
      </c>
      <c r="E141" s="76">
        <f>E142+E145+E148+E149</f>
        <v>0</v>
      </c>
      <c r="F141" s="76">
        <f>F142+F145+F148+F149</f>
        <v>806267632</v>
      </c>
      <c r="G141" s="76">
        <f>G142+G145+G148+G149</f>
        <v>616323621</v>
      </c>
      <c r="H141" s="119">
        <f>G141/F141*100</f>
        <v>76.441568102041828</v>
      </c>
    </row>
    <row r="142" spans="1:8" s="66" customFormat="1" ht="21.75" customHeight="1">
      <c r="A142" s="84">
        <v>1</v>
      </c>
      <c r="B142" s="88" t="s">
        <v>15</v>
      </c>
      <c r="C142" s="89"/>
      <c r="D142" s="94">
        <v>130830910</v>
      </c>
      <c r="E142" s="94"/>
      <c r="F142" s="79">
        <f t="shared" si="2"/>
        <v>130830910</v>
      </c>
      <c r="G142" s="79">
        <f>G143+G144</f>
        <v>334921000</v>
      </c>
      <c r="H142" s="121"/>
    </row>
    <row r="143" spans="1:8" s="45" customFormat="1" ht="23.25" customHeight="1">
      <c r="A143" s="55"/>
      <c r="B143" s="43" t="s">
        <v>195</v>
      </c>
      <c r="C143" s="44"/>
      <c r="D143" s="44"/>
      <c r="E143" s="44"/>
      <c r="F143" s="44"/>
      <c r="G143" s="44">
        <v>190466000</v>
      </c>
      <c r="H143" s="111"/>
    </row>
    <row r="144" spans="1:8" s="45" customFormat="1" ht="23.25" customHeight="1">
      <c r="A144" s="138"/>
      <c r="B144" s="139" t="s">
        <v>196</v>
      </c>
      <c r="C144" s="93"/>
      <c r="D144" s="93"/>
      <c r="E144" s="93"/>
      <c r="F144" s="93"/>
      <c r="G144" s="93">
        <v>144455000</v>
      </c>
      <c r="H144" s="122"/>
    </row>
    <row r="145" spans="1:8" s="48" customFormat="1" ht="19.5" customHeight="1">
      <c r="A145" s="56">
        <v>2</v>
      </c>
      <c r="B145" s="145" t="s">
        <v>40</v>
      </c>
      <c r="C145" s="57"/>
      <c r="D145" s="146">
        <v>629379722</v>
      </c>
      <c r="E145" s="146"/>
      <c r="F145" s="58">
        <f t="shared" si="2"/>
        <v>629379722</v>
      </c>
      <c r="G145" s="58">
        <f>G146+G147</f>
        <v>255345621</v>
      </c>
      <c r="H145" s="113"/>
    </row>
    <row r="146" spans="1:8" s="48" customFormat="1" ht="19.5" customHeight="1">
      <c r="A146" s="56"/>
      <c r="B146" s="147" t="s">
        <v>182</v>
      </c>
      <c r="C146" s="57"/>
      <c r="D146" s="146">
        <f>D145-D147</f>
        <v>614379722</v>
      </c>
      <c r="E146" s="146"/>
      <c r="F146" s="58">
        <f t="shared" si="2"/>
        <v>614379722</v>
      </c>
      <c r="G146" s="58">
        <f>255345621-G147</f>
        <v>240345621</v>
      </c>
      <c r="H146" s="113"/>
    </row>
    <row r="147" spans="1:8" s="48" customFormat="1" ht="19.5" customHeight="1">
      <c r="A147" s="56"/>
      <c r="B147" s="147" t="s">
        <v>183</v>
      </c>
      <c r="C147" s="57"/>
      <c r="D147" s="146">
        <v>15000000</v>
      </c>
      <c r="E147" s="146"/>
      <c r="F147" s="58">
        <f t="shared" si="2"/>
        <v>15000000</v>
      </c>
      <c r="G147" s="58">
        <v>15000000</v>
      </c>
      <c r="H147" s="113"/>
    </row>
    <row r="148" spans="1:8" s="48" customFormat="1" ht="19.5" customHeight="1">
      <c r="A148" s="56">
        <v>3</v>
      </c>
      <c r="B148" s="145" t="s">
        <v>203</v>
      </c>
      <c r="C148" s="57"/>
      <c r="D148" s="146">
        <v>20000000</v>
      </c>
      <c r="E148" s="146"/>
      <c r="F148" s="58">
        <f t="shared" si="2"/>
        <v>20000000</v>
      </c>
      <c r="G148" s="58"/>
      <c r="H148" s="113"/>
    </row>
    <row r="149" spans="1:8" s="48" customFormat="1" ht="19.5" customHeight="1">
      <c r="A149" s="56">
        <v>4</v>
      </c>
      <c r="B149" s="57" t="s">
        <v>179</v>
      </c>
      <c r="C149" s="57"/>
      <c r="D149" s="146">
        <v>26057000</v>
      </c>
      <c r="E149" s="146"/>
      <c r="F149" s="58">
        <f t="shared" si="2"/>
        <v>26057000</v>
      </c>
      <c r="G149" s="58">
        <v>26057000</v>
      </c>
      <c r="H149" s="113"/>
    </row>
    <row r="150" spans="1:8" s="48" customFormat="1" ht="19.5" customHeight="1">
      <c r="A150" s="41" t="s">
        <v>193</v>
      </c>
      <c r="B150" s="51" t="s">
        <v>181</v>
      </c>
      <c r="C150" s="51"/>
      <c r="D150" s="76">
        <f>D151</f>
        <v>65000000</v>
      </c>
      <c r="E150" s="76"/>
      <c r="F150" s="39">
        <f t="shared" si="2"/>
        <v>65000000</v>
      </c>
      <c r="G150" s="39">
        <f>SUM(G151:G157)</f>
        <v>1522349086</v>
      </c>
      <c r="H150" s="119"/>
    </row>
    <row r="151" spans="1:8" s="47" customFormat="1" ht="19.5" customHeight="1">
      <c r="A151" s="53">
        <v>1</v>
      </c>
      <c r="B151" s="53" t="s">
        <v>184</v>
      </c>
      <c r="C151" s="126"/>
      <c r="D151" s="126">
        <v>65000000</v>
      </c>
      <c r="E151" s="126"/>
      <c r="F151" s="54">
        <f t="shared" si="2"/>
        <v>65000000</v>
      </c>
      <c r="G151" s="54">
        <v>65000000</v>
      </c>
      <c r="H151" s="157"/>
    </row>
    <row r="152" spans="1:8" s="47" customFormat="1" ht="19.5" customHeight="1">
      <c r="A152" s="57">
        <v>2</v>
      </c>
      <c r="B152" s="57" t="s">
        <v>203</v>
      </c>
      <c r="C152" s="128"/>
      <c r="D152" s="128"/>
      <c r="E152" s="128"/>
      <c r="F152" s="58"/>
      <c r="G152" s="58">
        <v>20000000</v>
      </c>
      <c r="H152" s="113"/>
    </row>
    <row r="153" spans="1:8" s="47" customFormat="1" ht="19.5" customHeight="1">
      <c r="A153" s="57">
        <v>3</v>
      </c>
      <c r="B153" s="57" t="s">
        <v>15</v>
      </c>
      <c r="C153" s="128"/>
      <c r="D153" s="128"/>
      <c r="E153" s="128"/>
      <c r="F153" s="58"/>
      <c r="G153" s="58">
        <v>1209040364</v>
      </c>
      <c r="H153" s="113"/>
    </row>
    <row r="154" spans="1:8" s="47" customFormat="1" ht="19.5" customHeight="1">
      <c r="A154" s="57">
        <v>4</v>
      </c>
      <c r="B154" s="57" t="s">
        <v>248</v>
      </c>
      <c r="C154" s="128"/>
      <c r="D154" s="128"/>
      <c r="E154" s="128"/>
      <c r="F154" s="58"/>
      <c r="G154" s="58">
        <v>36971074</v>
      </c>
      <c r="H154" s="113"/>
    </row>
    <row r="155" spans="1:8" s="47" customFormat="1" ht="19.5" customHeight="1">
      <c r="A155" s="57">
        <v>5</v>
      </c>
      <c r="B155" s="57" t="s">
        <v>250</v>
      </c>
      <c r="C155" s="128"/>
      <c r="D155" s="128"/>
      <c r="E155" s="128"/>
      <c r="F155" s="58"/>
      <c r="G155" s="58">
        <f>102211648+75000000</f>
        <v>177211648</v>
      </c>
      <c r="H155" s="113"/>
    </row>
    <row r="156" spans="1:8" s="47" customFormat="1" ht="19.5" customHeight="1">
      <c r="A156" s="57">
        <v>6</v>
      </c>
      <c r="B156" s="57" t="s">
        <v>251</v>
      </c>
      <c r="C156" s="128"/>
      <c r="D156" s="128"/>
      <c r="E156" s="128"/>
      <c r="F156" s="58"/>
      <c r="G156" s="58">
        <f>F113-G113</f>
        <v>5000000</v>
      </c>
      <c r="H156" s="113"/>
    </row>
    <row r="157" spans="1:8" s="47" customFormat="1" ht="19.5" customHeight="1">
      <c r="A157" s="57">
        <v>7</v>
      </c>
      <c r="B157" s="145" t="s">
        <v>112</v>
      </c>
      <c r="C157" s="128"/>
      <c r="D157" s="128"/>
      <c r="E157" s="128"/>
      <c r="F157" s="58"/>
      <c r="G157" s="58">
        <f>G158+G159</f>
        <v>9126000</v>
      </c>
      <c r="H157" s="113"/>
    </row>
    <row r="158" spans="1:8" s="158" customFormat="1" ht="19.5" customHeight="1">
      <c r="A158" s="43"/>
      <c r="B158" s="176" t="s">
        <v>113</v>
      </c>
      <c r="C158" s="127"/>
      <c r="D158" s="127"/>
      <c r="E158" s="127"/>
      <c r="F158" s="44"/>
      <c r="G158" s="44">
        <f>F139</f>
        <v>2444000</v>
      </c>
      <c r="H158" s="116"/>
    </row>
    <row r="159" spans="1:8" s="158" customFormat="1" ht="19.5" customHeight="1">
      <c r="A159" s="159"/>
      <c r="B159" s="153" t="s">
        <v>114</v>
      </c>
      <c r="C159" s="160"/>
      <c r="D159" s="160"/>
      <c r="E159" s="160"/>
      <c r="F159" s="102"/>
      <c r="G159" s="102">
        <f>THU!F67+THU!F20+THU!F21-G140</f>
        <v>6682000</v>
      </c>
      <c r="H159" s="144"/>
    </row>
    <row r="160" spans="1:8" s="97" customFormat="1" ht="19.5" customHeight="1">
      <c r="A160" s="41" t="s">
        <v>202</v>
      </c>
      <c r="B160" s="51" t="s">
        <v>194</v>
      </c>
      <c r="C160" s="76"/>
      <c r="D160" s="76"/>
      <c r="E160" s="76"/>
      <c r="F160" s="39">
        <v>75000000</v>
      </c>
      <c r="G160" s="39">
        <v>75000000</v>
      </c>
      <c r="H160" s="119"/>
    </row>
    <row r="161" spans="1:8" s="96" customFormat="1" ht="15.75">
      <c r="A161" s="36"/>
      <c r="B161" s="36"/>
      <c r="C161" s="95"/>
      <c r="D161" s="95"/>
      <c r="E161" s="95"/>
      <c r="F161" s="95"/>
      <c r="G161" s="95"/>
      <c r="H161" s="124"/>
    </row>
    <row r="162" spans="1:8" s="49" customFormat="1" ht="18.75">
      <c r="A162" s="86"/>
      <c r="B162" s="86"/>
      <c r="C162" s="87"/>
      <c r="D162" s="87"/>
      <c r="E162" s="87"/>
      <c r="F162" s="87"/>
      <c r="G162" s="87"/>
      <c r="H162" s="125"/>
    </row>
    <row r="163" spans="1:8" s="49" customFormat="1" ht="18.75">
      <c r="A163" s="86"/>
      <c r="B163" s="86"/>
      <c r="C163" s="87"/>
      <c r="D163" s="87"/>
      <c r="E163" s="87"/>
      <c r="F163" s="87"/>
      <c r="G163" s="87"/>
      <c r="H163" s="125"/>
    </row>
    <row r="164" spans="1:8" s="49" customFormat="1" ht="18.75">
      <c r="A164" s="86"/>
      <c r="B164" s="86"/>
      <c r="C164" s="87"/>
      <c r="D164" s="87"/>
      <c r="E164" s="87"/>
      <c r="F164" s="87"/>
      <c r="G164" s="87"/>
      <c r="H164" s="125"/>
    </row>
    <row r="165" spans="1:8" s="49" customFormat="1" ht="18.75">
      <c r="A165" s="86"/>
      <c r="B165" s="86"/>
      <c r="C165" s="87"/>
      <c r="D165" s="87"/>
      <c r="E165" s="87"/>
      <c r="F165" s="87"/>
      <c r="G165" s="87"/>
      <c r="H165" s="125"/>
    </row>
    <row r="166" spans="1:8" s="49" customFormat="1" ht="18.75">
      <c r="A166" s="86"/>
      <c r="B166" s="86"/>
      <c r="C166" s="87"/>
      <c r="D166" s="87"/>
      <c r="E166" s="87"/>
      <c r="F166" s="87"/>
      <c r="G166" s="87"/>
      <c r="H166" s="125"/>
    </row>
    <row r="167" spans="1:8" s="49" customFormat="1" ht="18.75">
      <c r="C167" s="50"/>
      <c r="D167" s="50"/>
      <c r="E167" s="50"/>
      <c r="F167" s="50"/>
      <c r="G167" s="50"/>
      <c r="H167" s="125"/>
    </row>
  </sheetData>
  <mergeCells count="5">
    <mergeCell ref="C1:H1"/>
    <mergeCell ref="A2:H2"/>
    <mergeCell ref="A3:D3"/>
    <mergeCell ref="C4:H4"/>
    <mergeCell ref="A6:B6"/>
  </mergeCells>
  <pageMargins left="0.24" right="0.16" top="0.41" bottom="0.34" header="0.2" footer="0.2"/>
  <pageSetup paperSize="9" orientation="landscape" verticalDpi="0" r:id="rId1"/>
</worksheet>
</file>

<file path=xl/worksheets/sheet3.xml><?xml version="1.0" encoding="utf-8"?>
<worksheet xmlns="http://schemas.openxmlformats.org/spreadsheetml/2006/main" xmlns:r="http://schemas.openxmlformats.org/officeDocument/2006/relationships">
  <sheetPr codeName="Sheet3"/>
  <dimension ref="A1"/>
  <sheetViews>
    <sheetView workbookViewId="0"/>
  </sheetViews>
  <sheetFormatPr defaultRowHeight="12.75"/>
  <sheetData/>
  <pageMargins left="0.7" right="0.7" top="0.75" bottom="0.75" header="0.3" footer="0.3"/>
</worksheet>
</file>

<file path=xl/worksheets/sheet4.xml><?xml version="1.0" encoding="utf-8"?>
<worksheet xmlns="http://schemas.openxmlformats.org/spreadsheetml/2006/main" xmlns:r="http://schemas.openxmlformats.org/officeDocument/2006/relationships">
  <sheetPr codeName="Sheet4"/>
  <dimension ref="A1"/>
  <sheetViews>
    <sheetView workbookViewId="0"/>
  </sheetViews>
  <sheetFormatPr defaultRowHeight="12.75"/>
  <sheetData/>
  <pageMargins left="0.7" right="0.7" top="0.75" bottom="0.75" header="0.3" footer="0.3"/>
</worksheet>
</file>

<file path=xl/worksheets/sheet5.xml><?xml version="1.0" encoding="utf-8"?>
<worksheet xmlns="http://schemas.openxmlformats.org/spreadsheetml/2006/main" xmlns:r="http://schemas.openxmlformats.org/officeDocument/2006/relationships">
  <sheetPr codeName="Sheet5"/>
  <dimension ref="A1"/>
  <sheetViews>
    <sheetView workbookViewId="0"/>
  </sheetViews>
  <sheetFormatPr defaultRowHeight="12.75"/>
  <sheetData/>
  <pageMargins left="0.7" right="0.7" top="0.75" bottom="0.75" header="0.3" footer="0.3"/>
</worksheet>
</file>

<file path=xl/worksheets/sheet6.xml><?xml version="1.0" encoding="utf-8"?>
<worksheet xmlns="http://schemas.openxmlformats.org/spreadsheetml/2006/main" xmlns:r="http://schemas.openxmlformats.org/officeDocument/2006/relationships">
  <sheetPr codeName="Sheet6">
    <tabColor rgb="FFFFFF00"/>
  </sheetPr>
  <dimension ref="A1:L69"/>
  <sheetViews>
    <sheetView topLeftCell="A16" workbookViewId="0">
      <selection activeCell="H25" sqref="H25"/>
    </sheetView>
  </sheetViews>
  <sheetFormatPr defaultRowHeight="15"/>
  <cols>
    <col min="1" max="1" width="5.140625" style="249" bestFit="1" customWidth="1"/>
    <col min="2" max="2" width="43" style="249" customWidth="1"/>
    <col min="3" max="4" width="15.85546875" style="249" customWidth="1"/>
    <col min="5" max="6" width="16.42578125" style="249" customWidth="1"/>
    <col min="7" max="8" width="10.7109375" style="249" customWidth="1"/>
    <col min="9" max="9" width="20.7109375" style="248" bestFit="1" customWidth="1"/>
    <col min="10" max="10" width="20.42578125" style="249" bestFit="1" customWidth="1"/>
    <col min="11" max="11" width="19.42578125" style="249" bestFit="1" customWidth="1"/>
    <col min="12" max="12" width="18.5703125" style="249" bestFit="1" customWidth="1"/>
    <col min="13" max="16384" width="9.140625" style="249"/>
  </cols>
  <sheetData>
    <row r="1" spans="1:12" ht="15.75">
      <c r="A1" s="194"/>
      <c r="B1" s="194"/>
      <c r="C1" s="194"/>
      <c r="D1" s="194"/>
      <c r="E1" s="387" t="s">
        <v>254</v>
      </c>
      <c r="F1" s="387"/>
      <c r="G1" s="387"/>
      <c r="H1" s="387"/>
    </row>
    <row r="2" spans="1:12" s="251" customFormat="1" ht="28.5" customHeight="1">
      <c r="A2" s="386" t="s">
        <v>446</v>
      </c>
      <c r="B2" s="386"/>
      <c r="C2" s="386"/>
      <c r="D2" s="386"/>
      <c r="E2" s="386"/>
      <c r="F2" s="386"/>
      <c r="G2" s="386"/>
      <c r="H2" s="386"/>
      <c r="I2" s="250"/>
    </row>
    <row r="3" spans="1:12" s="251" customFormat="1" ht="15" customHeight="1">
      <c r="A3" s="397" t="s">
        <v>469</v>
      </c>
      <c r="B3" s="397"/>
      <c r="C3" s="397"/>
      <c r="D3" s="397"/>
      <c r="E3" s="397"/>
      <c r="F3" s="397"/>
      <c r="G3" s="397"/>
      <c r="H3" s="397"/>
      <c r="I3" s="250"/>
    </row>
    <row r="4" spans="1:12" ht="20.25" customHeight="1">
      <c r="A4" s="9"/>
      <c r="B4" s="154"/>
      <c r="C4" s="388" t="s">
        <v>11</v>
      </c>
      <c r="D4" s="388"/>
      <c r="E4" s="388"/>
      <c r="F4" s="388"/>
      <c r="G4" s="388"/>
      <c r="H4" s="388"/>
    </row>
    <row r="5" spans="1:12" s="129" customFormat="1" ht="52.5" customHeight="1">
      <c r="A5" s="1" t="s">
        <v>0</v>
      </c>
      <c r="B5" s="1" t="s">
        <v>12</v>
      </c>
      <c r="C5" s="2" t="s">
        <v>13</v>
      </c>
      <c r="D5" s="2" t="s">
        <v>87</v>
      </c>
      <c r="E5" s="2" t="s">
        <v>88</v>
      </c>
      <c r="F5" s="2" t="s">
        <v>447</v>
      </c>
      <c r="G5" s="2" t="s">
        <v>122</v>
      </c>
      <c r="H5" s="2" t="s">
        <v>253</v>
      </c>
      <c r="I5" s="252"/>
    </row>
    <row r="6" spans="1:12" ht="24" customHeight="1">
      <c r="A6" s="164"/>
      <c r="B6" s="165" t="s">
        <v>428</v>
      </c>
      <c r="C6" s="166">
        <f>C7+C16+C25</f>
        <v>9680000000</v>
      </c>
      <c r="D6" s="166">
        <f>D7+D16+D25</f>
        <v>8180000000</v>
      </c>
      <c r="E6" s="166">
        <f>E7+E16+E25+E43</f>
        <v>24870545689</v>
      </c>
      <c r="F6" s="166">
        <f>F7+F16+F25+F43</f>
        <v>22132578543</v>
      </c>
      <c r="G6" s="377">
        <f>F6/E6*100</f>
        <v>88.991125565809455</v>
      </c>
      <c r="H6" s="166"/>
      <c r="I6" s="406"/>
      <c r="J6" s="253"/>
      <c r="K6" s="253"/>
    </row>
    <row r="7" spans="1:12" ht="24" customHeight="1">
      <c r="A7" s="1" t="s">
        <v>2</v>
      </c>
      <c r="B7" s="195" t="s">
        <v>35</v>
      </c>
      <c r="C7" s="196">
        <f>C8+C9+C12+C13</f>
        <v>247000000</v>
      </c>
      <c r="D7" s="196">
        <f>D8+D9+D12+D13</f>
        <v>247000000</v>
      </c>
      <c r="E7" s="196">
        <f>E8+E9+E12+E13</f>
        <v>339862000</v>
      </c>
      <c r="F7" s="196">
        <f>F8+F9+F12+F13</f>
        <v>562744680</v>
      </c>
      <c r="G7" s="378">
        <f>F7/E7*100</f>
        <v>165.58034731744061</v>
      </c>
      <c r="H7" s="196"/>
      <c r="I7" s="406"/>
      <c r="J7" s="248"/>
      <c r="K7" s="248"/>
    </row>
    <row r="8" spans="1:12" ht="24" customHeight="1">
      <c r="A8" s="244">
        <v>1</v>
      </c>
      <c r="B8" s="245" t="s">
        <v>355</v>
      </c>
      <c r="C8" s="246">
        <v>50000000</v>
      </c>
      <c r="D8" s="246">
        <f>C8</f>
        <v>50000000</v>
      </c>
      <c r="E8" s="246">
        <v>44001000</v>
      </c>
      <c r="F8" s="246">
        <v>66150000</v>
      </c>
      <c r="G8" s="379"/>
      <c r="H8" s="247"/>
      <c r="I8" s="407"/>
      <c r="J8" s="248"/>
      <c r="K8" s="248"/>
    </row>
    <row r="9" spans="1:12" ht="24" customHeight="1">
      <c r="A9" s="3">
        <v>3</v>
      </c>
      <c r="B9" s="12" t="s">
        <v>18</v>
      </c>
      <c r="C9" s="13">
        <v>72000000</v>
      </c>
      <c r="D9" s="13">
        <v>72000000</v>
      </c>
      <c r="E9" s="13">
        <f>E10+E11</f>
        <v>72000000</v>
      </c>
      <c r="F9" s="13">
        <f>SUM(F10:F11)</f>
        <v>42703000</v>
      </c>
      <c r="G9" s="13"/>
      <c r="H9" s="13"/>
      <c r="I9" s="408"/>
    </row>
    <row r="10" spans="1:12" s="255" customFormat="1" ht="37.5" customHeight="1">
      <c r="A10" s="20" t="s">
        <v>16</v>
      </c>
      <c r="B10" s="21" t="s">
        <v>118</v>
      </c>
      <c r="C10" s="15"/>
      <c r="D10" s="15"/>
      <c r="E10" s="15">
        <v>32000000</v>
      </c>
      <c r="F10" s="15">
        <v>22653000</v>
      </c>
      <c r="G10" s="15"/>
      <c r="H10" s="105"/>
      <c r="I10" s="254"/>
    </row>
    <row r="11" spans="1:12" s="255" customFormat="1" ht="22.5" customHeight="1">
      <c r="A11" s="20" t="s">
        <v>97</v>
      </c>
      <c r="B11" s="21" t="s">
        <v>20</v>
      </c>
      <c r="C11" s="15"/>
      <c r="D11" s="15"/>
      <c r="E11" s="15">
        <v>40000000</v>
      </c>
      <c r="F11" s="15">
        <v>20050000</v>
      </c>
      <c r="G11" s="15"/>
      <c r="H11" s="105"/>
      <c r="I11" s="254"/>
    </row>
    <row r="12" spans="1:12" ht="22.5" customHeight="1">
      <c r="A12" s="3">
        <v>4</v>
      </c>
      <c r="B12" s="12" t="s">
        <v>21</v>
      </c>
      <c r="C12" s="13">
        <v>10000000</v>
      </c>
      <c r="D12" s="13">
        <v>10000000</v>
      </c>
      <c r="E12" s="13">
        <v>10000000</v>
      </c>
      <c r="F12" s="13">
        <v>216871680</v>
      </c>
      <c r="G12" s="13"/>
      <c r="H12" s="104"/>
      <c r="K12" s="256"/>
    </row>
    <row r="13" spans="1:12" ht="22.5" customHeight="1">
      <c r="A13" s="3">
        <v>5</v>
      </c>
      <c r="B13" s="12" t="s">
        <v>36</v>
      </c>
      <c r="C13" s="13">
        <v>115000000</v>
      </c>
      <c r="D13" s="13">
        <v>115000000</v>
      </c>
      <c r="E13" s="13">
        <f>E14+E15</f>
        <v>213861000</v>
      </c>
      <c r="F13" s="13">
        <f>SUM(F14:F15)</f>
        <v>237020000</v>
      </c>
      <c r="G13" s="13"/>
      <c r="H13" s="104"/>
      <c r="K13" s="257"/>
    </row>
    <row r="14" spans="1:12" ht="22.5" customHeight="1">
      <c r="A14" s="14" t="s">
        <v>22</v>
      </c>
      <c r="B14" s="23" t="s">
        <v>63</v>
      </c>
      <c r="C14" s="15"/>
      <c r="D14" s="15"/>
      <c r="E14" s="15">
        <v>133861000</v>
      </c>
      <c r="F14" s="15">
        <v>236020000</v>
      </c>
      <c r="G14" s="15"/>
      <c r="H14" s="106"/>
      <c r="I14" s="395"/>
      <c r="J14" s="396"/>
      <c r="K14" s="396"/>
      <c r="L14" s="257"/>
    </row>
    <row r="15" spans="1:12" ht="22.5" customHeight="1">
      <c r="A15" s="14" t="s">
        <v>23</v>
      </c>
      <c r="B15" s="23" t="s">
        <v>24</v>
      </c>
      <c r="C15" s="15"/>
      <c r="D15" s="15"/>
      <c r="E15" s="15">
        <v>80000000</v>
      </c>
      <c r="F15" s="15">
        <v>1000000</v>
      </c>
      <c r="G15" s="15"/>
      <c r="H15" s="106"/>
      <c r="J15" s="253"/>
    </row>
    <row r="16" spans="1:12" ht="22.5" customHeight="1">
      <c r="A16" s="19" t="s">
        <v>3</v>
      </c>
      <c r="B16" s="17" t="s">
        <v>25</v>
      </c>
      <c r="C16" s="18">
        <f>C17+C20+C21+C22</f>
        <v>5308000000</v>
      </c>
      <c r="D16" s="18">
        <f>D17+D20+D21+D22</f>
        <v>3808000000</v>
      </c>
      <c r="E16" s="18">
        <f>E17+E20+E21+E22</f>
        <v>8560000000</v>
      </c>
      <c r="F16" s="18">
        <f>F17+F20+F21+F22+F23+F24</f>
        <v>4462915174</v>
      </c>
      <c r="G16" s="18"/>
      <c r="H16" s="18"/>
      <c r="I16" s="409"/>
      <c r="J16" s="265"/>
    </row>
    <row r="17" spans="1:11" ht="22.5" customHeight="1">
      <c r="A17" s="3">
        <v>1</v>
      </c>
      <c r="B17" s="12" t="s">
        <v>34</v>
      </c>
      <c r="C17" s="13">
        <f>C18+C19</f>
        <v>205000000</v>
      </c>
      <c r="D17" s="13">
        <f>D18+D19</f>
        <v>205000000</v>
      </c>
      <c r="E17" s="13">
        <f>E18+E19</f>
        <v>205000000</v>
      </c>
      <c r="F17" s="13">
        <f>11968293+16844089+144242198</f>
        <v>173054580</v>
      </c>
      <c r="G17" s="13"/>
      <c r="H17" s="104"/>
    </row>
    <row r="18" spans="1:11" s="259" customFormat="1" ht="22.5" customHeight="1">
      <c r="A18" s="24" t="s">
        <v>6</v>
      </c>
      <c r="B18" s="25" t="s">
        <v>86</v>
      </c>
      <c r="C18" s="26">
        <v>180000000</v>
      </c>
      <c r="D18" s="26">
        <f>C18</f>
        <v>180000000</v>
      </c>
      <c r="E18" s="26">
        <v>180000000</v>
      </c>
      <c r="F18" s="26"/>
      <c r="G18" s="26"/>
      <c r="H18" s="104"/>
      <c r="I18" s="258"/>
    </row>
    <row r="19" spans="1:11" s="259" customFormat="1" ht="22.5" customHeight="1">
      <c r="A19" s="24" t="s">
        <v>7</v>
      </c>
      <c r="B19" s="25" t="s">
        <v>64</v>
      </c>
      <c r="C19" s="26">
        <v>25000000</v>
      </c>
      <c r="D19" s="26">
        <f>C19</f>
        <v>25000000</v>
      </c>
      <c r="E19" s="26">
        <f>C19</f>
        <v>25000000</v>
      </c>
      <c r="F19" s="26"/>
      <c r="G19" s="26"/>
      <c r="H19" s="104"/>
      <c r="I19" s="258"/>
    </row>
    <row r="20" spans="1:11" ht="22.5" customHeight="1">
      <c r="A20" s="3">
        <v>2</v>
      </c>
      <c r="B20" s="12" t="s">
        <v>26</v>
      </c>
      <c r="C20" s="13">
        <v>100000000</v>
      </c>
      <c r="D20" s="13">
        <f>C20</f>
        <v>100000000</v>
      </c>
      <c r="E20" s="13">
        <v>100000000</v>
      </c>
      <c r="F20" s="13">
        <f>79553368+661092680</f>
        <v>740646048</v>
      </c>
      <c r="G20" s="13"/>
      <c r="H20" s="104"/>
    </row>
    <row r="21" spans="1:11" ht="22.5" customHeight="1">
      <c r="A21" s="3">
        <v>3</v>
      </c>
      <c r="B21" s="12" t="s">
        <v>15</v>
      </c>
      <c r="C21" s="13">
        <v>5000000000</v>
      </c>
      <c r="D21" s="13">
        <v>3500000000</v>
      </c>
      <c r="E21" s="13">
        <v>8252000000</v>
      </c>
      <c r="F21" s="13">
        <f>3542727000+200</f>
        <v>3542727200</v>
      </c>
      <c r="G21" s="13"/>
      <c r="H21" s="104"/>
      <c r="I21" s="380"/>
      <c r="J21" s="257"/>
      <c r="K21" s="265"/>
    </row>
    <row r="22" spans="1:11" ht="22.5" customHeight="1">
      <c r="A22" s="3">
        <v>4</v>
      </c>
      <c r="B22" s="12" t="s">
        <v>255</v>
      </c>
      <c r="C22" s="13">
        <v>3000000</v>
      </c>
      <c r="D22" s="13">
        <v>3000000</v>
      </c>
      <c r="E22" s="13">
        <v>3000000</v>
      </c>
      <c r="F22" s="13">
        <f>165110+2034492</f>
        <v>2199602</v>
      </c>
      <c r="G22" s="13"/>
      <c r="H22" s="104"/>
    </row>
    <row r="23" spans="1:11" ht="22.5" customHeight="1">
      <c r="A23" s="3">
        <v>5</v>
      </c>
      <c r="B23" s="12" t="s">
        <v>449</v>
      </c>
      <c r="C23" s="13"/>
      <c r="D23" s="13"/>
      <c r="E23" s="13"/>
      <c r="F23" s="13">
        <f>58434+122208+291451+30210+219+70563+514659</f>
        <v>1087744</v>
      </c>
      <c r="G23" s="13"/>
      <c r="H23" s="104"/>
    </row>
    <row r="24" spans="1:11" ht="22.5" customHeight="1">
      <c r="A24" s="3">
        <v>6</v>
      </c>
      <c r="B24" s="12" t="s">
        <v>448</v>
      </c>
      <c r="C24" s="13"/>
      <c r="D24" s="13"/>
      <c r="E24" s="13"/>
      <c r="F24" s="13">
        <v>3200000</v>
      </c>
      <c r="G24" s="13"/>
      <c r="H24" s="104"/>
    </row>
    <row r="25" spans="1:11" ht="22.5" customHeight="1">
      <c r="A25" s="19" t="s">
        <v>4</v>
      </c>
      <c r="B25" s="17" t="s">
        <v>28</v>
      </c>
      <c r="C25" s="18">
        <f>C26+C27</f>
        <v>4125000000</v>
      </c>
      <c r="D25" s="18">
        <f>D26+D27</f>
        <v>4125000000</v>
      </c>
      <c r="E25" s="18">
        <f>E26+E27</f>
        <v>4125000000</v>
      </c>
      <c r="F25" s="18">
        <f>F26+F27+F29</f>
        <v>5261235000</v>
      </c>
      <c r="G25" s="18"/>
      <c r="H25" s="18"/>
      <c r="I25" s="409"/>
    </row>
    <row r="26" spans="1:11" ht="22.5" customHeight="1">
      <c r="A26" s="3">
        <v>1</v>
      </c>
      <c r="B26" s="12" t="s">
        <v>29</v>
      </c>
      <c r="C26" s="13">
        <v>3853000000</v>
      </c>
      <c r="D26" s="13">
        <f>C26</f>
        <v>3853000000</v>
      </c>
      <c r="E26" s="13">
        <f>D26</f>
        <v>3853000000</v>
      </c>
      <c r="F26" s="13">
        <v>3853000000</v>
      </c>
      <c r="G26" s="13"/>
      <c r="H26" s="104"/>
    </row>
    <row r="27" spans="1:11" ht="22.5" customHeight="1">
      <c r="A27" s="3">
        <v>2</v>
      </c>
      <c r="B27" s="12" t="s">
        <v>30</v>
      </c>
      <c r="C27" s="13">
        <v>272000000</v>
      </c>
      <c r="D27" s="13">
        <f>C27</f>
        <v>272000000</v>
      </c>
      <c r="E27" s="13">
        <f>C27</f>
        <v>272000000</v>
      </c>
      <c r="F27" s="13">
        <v>287000000</v>
      </c>
      <c r="G27" s="13"/>
      <c r="H27" s="104"/>
    </row>
    <row r="28" spans="1:11" s="255" customFormat="1" ht="40.5" customHeight="1">
      <c r="A28" s="14"/>
      <c r="B28" s="172" t="s">
        <v>256</v>
      </c>
      <c r="C28" s="15">
        <v>105000000</v>
      </c>
      <c r="D28" s="15">
        <v>105000000</v>
      </c>
      <c r="E28" s="15">
        <f>D28</f>
        <v>105000000</v>
      </c>
      <c r="F28" s="15"/>
      <c r="G28" s="15"/>
      <c r="H28" s="106"/>
      <c r="I28" s="254"/>
    </row>
    <row r="29" spans="1:11" s="272" customFormat="1" ht="22.5" customHeight="1">
      <c r="A29" s="19" t="s">
        <v>27</v>
      </c>
      <c r="B29" s="17" t="s">
        <v>125</v>
      </c>
      <c r="C29" s="18"/>
      <c r="D29" s="18"/>
      <c r="E29" s="18"/>
      <c r="F29" s="18">
        <v>1121235000</v>
      </c>
      <c r="G29" s="18"/>
      <c r="H29" s="103"/>
      <c r="I29" s="271"/>
    </row>
    <row r="30" spans="1:11" ht="51" customHeight="1">
      <c r="A30" s="3">
        <v>1</v>
      </c>
      <c r="B30" s="12" t="s">
        <v>433</v>
      </c>
      <c r="C30" s="13"/>
      <c r="D30" s="13"/>
      <c r="E30" s="13"/>
      <c r="F30" s="13">
        <v>13500000</v>
      </c>
      <c r="G30" s="13"/>
      <c r="H30" s="104"/>
    </row>
    <row r="31" spans="1:11" ht="34.5" customHeight="1">
      <c r="A31" s="3">
        <v>2</v>
      </c>
      <c r="B31" s="12" t="s">
        <v>434</v>
      </c>
      <c r="C31" s="13"/>
      <c r="D31" s="13"/>
      <c r="E31" s="13"/>
      <c r="F31" s="13">
        <v>20000000</v>
      </c>
      <c r="G31" s="13"/>
      <c r="H31" s="104"/>
    </row>
    <row r="32" spans="1:11" ht="34.5" customHeight="1">
      <c r="A32" s="3">
        <v>3</v>
      </c>
      <c r="B32" s="12" t="s">
        <v>435</v>
      </c>
      <c r="C32" s="13"/>
      <c r="D32" s="13"/>
      <c r="E32" s="13"/>
      <c r="F32" s="13">
        <v>80000000</v>
      </c>
      <c r="G32" s="13"/>
      <c r="H32" s="104"/>
    </row>
    <row r="33" spans="1:9" ht="21.75" customHeight="1">
      <c r="A33" s="3">
        <v>4</v>
      </c>
      <c r="B33" s="12" t="s">
        <v>436</v>
      </c>
      <c r="C33" s="13"/>
      <c r="D33" s="13"/>
      <c r="E33" s="13"/>
      <c r="F33" s="13">
        <v>165000000</v>
      </c>
      <c r="G33" s="13"/>
      <c r="H33" s="104"/>
    </row>
    <row r="34" spans="1:9" ht="35.25" customHeight="1">
      <c r="A34" s="3">
        <v>5</v>
      </c>
      <c r="B34" s="12" t="s">
        <v>437</v>
      </c>
      <c r="C34" s="13"/>
      <c r="D34" s="13"/>
      <c r="E34" s="13"/>
      <c r="F34" s="13">
        <v>64500000</v>
      </c>
      <c r="G34" s="13"/>
      <c r="H34" s="104"/>
    </row>
    <row r="35" spans="1:9" ht="19.5" customHeight="1">
      <c r="A35" s="3">
        <v>6</v>
      </c>
      <c r="B35" s="12" t="s">
        <v>438</v>
      </c>
      <c r="C35" s="13"/>
      <c r="D35" s="13"/>
      <c r="E35" s="13"/>
      <c r="F35" s="13">
        <v>30000000</v>
      </c>
      <c r="G35" s="13"/>
      <c r="H35" s="104"/>
    </row>
    <row r="36" spans="1:9" ht="19.5" customHeight="1">
      <c r="A36" s="3">
        <v>7</v>
      </c>
      <c r="B36" s="12" t="s">
        <v>439</v>
      </c>
      <c r="C36" s="13"/>
      <c r="D36" s="13"/>
      <c r="E36" s="13"/>
      <c r="F36" s="13">
        <v>20000000</v>
      </c>
      <c r="G36" s="13"/>
      <c r="H36" s="104"/>
    </row>
    <row r="37" spans="1:9" ht="35.25" customHeight="1">
      <c r="A37" s="3">
        <v>8</v>
      </c>
      <c r="B37" s="12" t="s">
        <v>441</v>
      </c>
      <c r="C37" s="13"/>
      <c r="D37" s="13"/>
      <c r="E37" s="13"/>
      <c r="F37" s="13">
        <v>100000000</v>
      </c>
      <c r="G37" s="13"/>
      <c r="H37" s="104"/>
    </row>
    <row r="38" spans="1:9" ht="19.5" customHeight="1">
      <c r="A38" s="3">
        <v>9</v>
      </c>
      <c r="B38" s="12" t="s">
        <v>444</v>
      </c>
      <c r="C38" s="13"/>
      <c r="D38" s="13"/>
      <c r="E38" s="13"/>
      <c r="F38" s="13">
        <v>250000000</v>
      </c>
      <c r="G38" s="13"/>
      <c r="H38" s="104"/>
    </row>
    <row r="39" spans="1:9" ht="36" customHeight="1">
      <c r="A39" s="3">
        <v>10</v>
      </c>
      <c r="B39" s="12" t="s">
        <v>437</v>
      </c>
      <c r="C39" s="13"/>
      <c r="D39" s="13"/>
      <c r="E39" s="13"/>
      <c r="F39" s="13">
        <v>131280000</v>
      </c>
      <c r="G39" s="13"/>
      <c r="H39" s="104"/>
    </row>
    <row r="40" spans="1:9" ht="35.25" customHeight="1">
      <c r="A40" s="3">
        <v>11</v>
      </c>
      <c r="B40" s="12" t="s">
        <v>442</v>
      </c>
      <c r="C40" s="13"/>
      <c r="D40" s="13"/>
      <c r="E40" s="13"/>
      <c r="F40" s="13">
        <v>200000000</v>
      </c>
      <c r="G40" s="13"/>
      <c r="H40" s="104"/>
    </row>
    <row r="41" spans="1:9" ht="19.5" customHeight="1">
      <c r="A41" s="3">
        <v>12</v>
      </c>
      <c r="B41" s="270" t="s">
        <v>443</v>
      </c>
      <c r="C41" s="32"/>
      <c r="D41" s="32"/>
      <c r="E41" s="32"/>
      <c r="F41" s="32">
        <v>42940000</v>
      </c>
      <c r="G41" s="32"/>
      <c r="H41" s="107"/>
    </row>
    <row r="42" spans="1:9" ht="36" customHeight="1">
      <c r="A42" s="3">
        <v>13</v>
      </c>
      <c r="B42" s="284" t="s">
        <v>450</v>
      </c>
      <c r="C42" s="285"/>
      <c r="D42" s="285"/>
      <c r="E42" s="285"/>
      <c r="F42" s="285">
        <v>4015000</v>
      </c>
      <c r="G42" s="285"/>
      <c r="H42" s="286"/>
    </row>
    <row r="43" spans="1:9" s="262" customFormat="1" ht="22.5" customHeight="1">
      <c r="A43" s="260" t="s">
        <v>27</v>
      </c>
      <c r="B43" s="260" t="s">
        <v>426</v>
      </c>
      <c r="C43" s="260"/>
      <c r="D43" s="260"/>
      <c r="E43" s="39">
        <f>11845683689</f>
        <v>11845683689</v>
      </c>
      <c r="F43" s="39">
        <f>E43</f>
        <v>11845683689</v>
      </c>
      <c r="G43" s="39"/>
      <c r="H43" s="260"/>
      <c r="I43" s="261"/>
    </row>
    <row r="44" spans="1:9" s="36" customFormat="1" ht="15.75">
      <c r="A44" s="263"/>
      <c r="B44" s="263"/>
      <c r="C44" s="263"/>
      <c r="D44" s="263"/>
      <c r="E44" s="263"/>
      <c r="F44" s="263"/>
      <c r="G44" s="263"/>
      <c r="H44" s="263"/>
      <c r="I44" s="95"/>
    </row>
    <row r="45" spans="1:9" s="36" customFormat="1" ht="15.75">
      <c r="A45" s="263"/>
      <c r="B45" s="263"/>
      <c r="C45" s="263"/>
      <c r="D45" s="263"/>
      <c r="E45" s="263"/>
      <c r="F45" s="263"/>
      <c r="G45" s="263"/>
      <c r="H45" s="263"/>
      <c r="I45" s="95"/>
    </row>
    <row r="46" spans="1:9" ht="18.75">
      <c r="A46" s="264"/>
      <c r="B46" s="264"/>
      <c r="C46" s="264"/>
      <c r="D46" s="264"/>
      <c r="E46" s="264"/>
      <c r="F46" s="264"/>
      <c r="G46" s="264"/>
      <c r="H46" s="264"/>
    </row>
    <row r="47" spans="1:9" ht="18.75">
      <c r="A47" s="264"/>
      <c r="B47" s="264"/>
      <c r="C47" s="264"/>
      <c r="D47" s="264"/>
      <c r="E47" s="264"/>
      <c r="F47" s="264"/>
      <c r="G47" s="264"/>
      <c r="H47" s="264"/>
    </row>
    <row r="48" spans="1:9" ht="18.75">
      <c r="A48" s="264"/>
      <c r="B48" s="264"/>
      <c r="C48" s="264"/>
      <c r="D48" s="264"/>
      <c r="E48" s="264"/>
      <c r="F48" s="264"/>
      <c r="G48" s="264"/>
      <c r="H48" s="264"/>
    </row>
    <row r="49" spans="1:8" ht="18.75">
      <c r="A49" s="264"/>
      <c r="B49" s="264"/>
      <c r="C49" s="264"/>
      <c r="D49" s="264"/>
      <c r="E49" s="264"/>
      <c r="F49" s="264"/>
      <c r="G49" s="264"/>
      <c r="H49" s="264"/>
    </row>
    <row r="50" spans="1:8" ht="18.75">
      <c r="A50" s="264"/>
      <c r="B50" s="264"/>
      <c r="C50" s="264"/>
      <c r="D50" s="264"/>
      <c r="E50" s="264"/>
      <c r="F50" s="264"/>
      <c r="G50" s="264"/>
      <c r="H50" s="264"/>
    </row>
    <row r="51" spans="1:8" ht="18.75">
      <c r="A51" s="264"/>
      <c r="B51" s="264"/>
      <c r="C51" s="264"/>
      <c r="D51" s="264"/>
      <c r="E51" s="264"/>
      <c r="F51" s="264"/>
      <c r="G51" s="264"/>
      <c r="H51" s="264"/>
    </row>
    <row r="52" spans="1:8" ht="18.75">
      <c r="A52" s="264"/>
      <c r="B52" s="264"/>
      <c r="C52" s="264"/>
      <c r="D52" s="264"/>
      <c r="E52" s="264"/>
      <c r="F52" s="264"/>
      <c r="G52" s="264"/>
      <c r="H52" s="264"/>
    </row>
    <row r="53" spans="1:8" ht="18.75">
      <c r="A53" s="264"/>
      <c r="B53" s="264"/>
      <c r="C53" s="264"/>
      <c r="D53" s="264"/>
      <c r="E53" s="264"/>
      <c r="F53" s="264"/>
      <c r="G53" s="264"/>
      <c r="H53" s="264"/>
    </row>
    <row r="54" spans="1:8" ht="18.75">
      <c r="A54" s="264"/>
      <c r="B54" s="264"/>
      <c r="C54" s="264"/>
      <c r="D54" s="264"/>
      <c r="E54" s="264"/>
      <c r="F54" s="264"/>
      <c r="G54" s="264"/>
      <c r="H54" s="264"/>
    </row>
    <row r="55" spans="1:8" ht="18.75">
      <c r="A55" s="264"/>
      <c r="B55" s="264"/>
      <c r="C55" s="264"/>
      <c r="D55" s="264"/>
      <c r="E55" s="264"/>
      <c r="F55" s="264"/>
      <c r="G55" s="264"/>
      <c r="H55" s="264"/>
    </row>
    <row r="56" spans="1:8" ht="18.75">
      <c r="A56" s="264"/>
      <c r="B56" s="264"/>
      <c r="C56" s="264"/>
      <c r="D56" s="264"/>
      <c r="E56" s="264"/>
      <c r="F56" s="264"/>
      <c r="G56" s="264"/>
      <c r="H56" s="264"/>
    </row>
    <row r="57" spans="1:8" ht="18.75">
      <c r="A57" s="264"/>
      <c r="B57" s="264"/>
      <c r="C57" s="264"/>
      <c r="D57" s="264"/>
      <c r="E57" s="264"/>
      <c r="F57" s="264"/>
      <c r="G57" s="264"/>
      <c r="H57" s="264"/>
    </row>
    <row r="58" spans="1:8" ht="18.75">
      <c r="A58" s="264"/>
      <c r="B58" s="264"/>
      <c r="C58" s="264"/>
      <c r="D58" s="264"/>
      <c r="E58" s="264"/>
      <c r="F58" s="264"/>
      <c r="G58" s="264"/>
      <c r="H58" s="264"/>
    </row>
    <row r="59" spans="1:8" ht="18.75">
      <c r="A59" s="264"/>
      <c r="B59" s="264"/>
      <c r="C59" s="264"/>
      <c r="D59" s="264"/>
      <c r="E59" s="264"/>
      <c r="F59" s="264"/>
      <c r="G59" s="264"/>
      <c r="H59" s="264"/>
    </row>
    <row r="60" spans="1:8" ht="18.75">
      <c r="A60" s="264"/>
      <c r="B60" s="264"/>
      <c r="C60" s="264"/>
      <c r="D60" s="264"/>
      <c r="E60" s="264"/>
      <c r="F60" s="264"/>
      <c r="G60" s="264"/>
      <c r="H60" s="264"/>
    </row>
    <row r="61" spans="1:8" ht="18.75">
      <c r="A61" s="264"/>
      <c r="B61" s="264"/>
      <c r="C61" s="264"/>
      <c r="D61" s="264"/>
      <c r="E61" s="264"/>
      <c r="F61" s="264"/>
      <c r="G61" s="264"/>
      <c r="H61" s="264"/>
    </row>
    <row r="62" spans="1:8" ht="18.75">
      <c r="A62" s="264"/>
      <c r="B62" s="264"/>
      <c r="C62" s="264"/>
      <c r="D62" s="264"/>
      <c r="E62" s="264"/>
      <c r="F62" s="264"/>
      <c r="G62" s="264"/>
      <c r="H62" s="264"/>
    </row>
    <row r="63" spans="1:8" ht="18.75">
      <c r="A63" s="264"/>
      <c r="B63" s="264"/>
      <c r="C63" s="264"/>
      <c r="D63" s="264"/>
      <c r="E63" s="264"/>
      <c r="F63" s="264"/>
      <c r="G63" s="264"/>
      <c r="H63" s="264"/>
    </row>
    <row r="64" spans="1:8" ht="18.75">
      <c r="A64" s="264"/>
      <c r="B64" s="264"/>
      <c r="C64" s="264"/>
      <c r="D64" s="264"/>
      <c r="E64" s="264"/>
      <c r="F64" s="264"/>
      <c r="G64" s="264"/>
      <c r="H64" s="264"/>
    </row>
    <row r="65" spans="1:8" ht="18.75">
      <c r="A65" s="264"/>
      <c r="B65" s="264"/>
      <c r="C65" s="264"/>
      <c r="D65" s="264"/>
      <c r="E65" s="264"/>
      <c r="F65" s="264"/>
      <c r="G65" s="264"/>
      <c r="H65" s="264"/>
    </row>
    <row r="66" spans="1:8" ht="18.75">
      <c r="A66" s="264"/>
      <c r="B66" s="264"/>
      <c r="C66" s="264"/>
      <c r="D66" s="264"/>
      <c r="E66" s="264"/>
      <c r="F66" s="264"/>
      <c r="G66" s="264"/>
      <c r="H66" s="264"/>
    </row>
    <row r="67" spans="1:8" ht="18.75">
      <c r="A67" s="264"/>
      <c r="B67" s="264"/>
      <c r="C67" s="264"/>
      <c r="D67" s="264"/>
      <c r="E67" s="264"/>
      <c r="F67" s="264"/>
      <c r="G67" s="264"/>
      <c r="H67" s="264"/>
    </row>
    <row r="68" spans="1:8" ht="18.75">
      <c r="A68" s="264"/>
      <c r="B68" s="264"/>
      <c r="C68" s="264"/>
      <c r="D68" s="264"/>
      <c r="E68" s="264"/>
      <c r="F68" s="264"/>
      <c r="G68" s="264"/>
      <c r="H68" s="264"/>
    </row>
    <row r="69" spans="1:8" ht="18.75">
      <c r="A69" s="264"/>
      <c r="B69" s="264"/>
      <c r="C69" s="264"/>
      <c r="D69" s="264"/>
      <c r="E69" s="264"/>
      <c r="F69" s="264"/>
      <c r="G69" s="264"/>
      <c r="H69" s="264"/>
    </row>
  </sheetData>
  <mergeCells count="5">
    <mergeCell ref="A2:H2"/>
    <mergeCell ref="C4:H4"/>
    <mergeCell ref="E1:H1"/>
    <mergeCell ref="I14:K14"/>
    <mergeCell ref="A3:H3"/>
  </mergeCells>
  <pageMargins left="0.5" right="0" top="0.5" bottom="0.5" header="0.37" footer="0.5"/>
  <pageSetup orientation="landscape" verticalDpi="0" r:id="rId1"/>
  <headerFooter alignWithMargins="0">
    <oddHeader>&amp;C&amp;P</oddHeader>
  </headerFooter>
</worksheet>
</file>

<file path=xl/worksheets/sheet7.xml><?xml version="1.0" encoding="utf-8"?>
<worksheet xmlns="http://schemas.openxmlformats.org/spreadsheetml/2006/main" xmlns:r="http://schemas.openxmlformats.org/officeDocument/2006/relationships">
  <sheetPr codeName="Sheet7">
    <tabColor rgb="FFFFFF00"/>
  </sheetPr>
  <dimension ref="A1:J154"/>
  <sheetViews>
    <sheetView tabSelected="1" topLeftCell="A154" workbookViewId="0">
      <selection activeCell="A4" sqref="A4"/>
    </sheetView>
  </sheetViews>
  <sheetFormatPr defaultRowHeight="15"/>
  <cols>
    <col min="1" max="1" width="7.7109375" style="382" customWidth="1"/>
    <col min="2" max="2" width="53" style="287" customWidth="1"/>
    <col min="3" max="3" width="15.42578125" style="77" bestFit="1" customWidth="1"/>
    <col min="4" max="4" width="16.42578125" style="77" customWidth="1"/>
    <col min="5" max="5" width="13.5703125" style="77" customWidth="1"/>
    <col min="6" max="7" width="16.5703125" style="77" bestFit="1" customWidth="1"/>
    <col min="8" max="8" width="7.42578125" style="363" customWidth="1"/>
    <col min="9" max="9" width="20.42578125" style="287" customWidth="1"/>
    <col min="10" max="10" width="16.5703125" style="287" bestFit="1" customWidth="1"/>
    <col min="11" max="16384" width="9.140625" style="287"/>
  </cols>
  <sheetData>
    <row r="1" spans="1:10" ht="15.75" customHeight="1">
      <c r="C1" s="398" t="s">
        <v>65</v>
      </c>
      <c r="D1" s="398"/>
      <c r="E1" s="398"/>
      <c r="F1" s="398"/>
      <c r="G1" s="398"/>
      <c r="H1" s="398"/>
    </row>
    <row r="2" spans="1:10" ht="24" customHeight="1">
      <c r="A2" s="399" t="s">
        <v>445</v>
      </c>
      <c r="B2" s="399"/>
      <c r="C2" s="399"/>
      <c r="D2" s="399"/>
      <c r="E2" s="399"/>
      <c r="F2" s="399"/>
      <c r="G2" s="399"/>
      <c r="H2" s="399"/>
    </row>
    <row r="3" spans="1:10" ht="21.75" customHeight="1">
      <c r="A3" s="403" t="str">
        <f>'thu 2022'!A3:H3</f>
        <v>( Kèm theo Báo cáo số: 81/BC-UBND ngày  19/6/2023 của UBND xã Quảng Phước)</v>
      </c>
      <c r="B3" s="403"/>
      <c r="C3" s="403"/>
      <c r="D3" s="403"/>
      <c r="E3" s="403"/>
      <c r="F3" s="403"/>
      <c r="G3" s="403"/>
      <c r="H3" s="403"/>
      <c r="I3" s="77"/>
    </row>
    <row r="4" spans="1:10" s="288" customFormat="1" ht="19.5" customHeight="1">
      <c r="A4" s="383"/>
      <c r="B4" s="289"/>
      <c r="C4" s="400" t="s">
        <v>71</v>
      </c>
      <c r="D4" s="400"/>
      <c r="E4" s="400"/>
      <c r="F4" s="400"/>
      <c r="G4" s="400"/>
      <c r="H4" s="400"/>
      <c r="I4" s="290"/>
    </row>
    <row r="5" spans="1:10" s="294" customFormat="1" ht="48" customHeight="1">
      <c r="A5" s="291" t="s">
        <v>0</v>
      </c>
      <c r="B5" s="291" t="s">
        <v>37</v>
      </c>
      <c r="C5" s="163" t="s">
        <v>13</v>
      </c>
      <c r="D5" s="163" t="s">
        <v>72</v>
      </c>
      <c r="E5" s="98" t="s">
        <v>191</v>
      </c>
      <c r="F5" s="98" t="s">
        <v>405</v>
      </c>
      <c r="G5" s="98" t="s">
        <v>447</v>
      </c>
      <c r="H5" s="292" t="s">
        <v>468</v>
      </c>
      <c r="I5" s="293"/>
    </row>
    <row r="6" spans="1:10" s="296" customFormat="1" ht="22.5" customHeight="1">
      <c r="A6" s="401" t="s">
        <v>265</v>
      </c>
      <c r="B6" s="402"/>
      <c r="C6" s="39">
        <f>C7+C147</f>
        <v>8180000000</v>
      </c>
      <c r="D6" s="39">
        <f>D7+D147</f>
        <v>13024862000</v>
      </c>
      <c r="E6" s="39">
        <f>E7+E147</f>
        <v>105000000</v>
      </c>
      <c r="F6" s="39">
        <f>F7+F147</f>
        <v>24870545689</v>
      </c>
      <c r="G6" s="39">
        <f>G7+G147</f>
        <v>22132578543</v>
      </c>
      <c r="H6" s="76">
        <f>G6/F6*100</f>
        <v>88.991125565809455</v>
      </c>
      <c r="I6" s="381"/>
      <c r="J6" s="295"/>
    </row>
    <row r="7" spans="1:10" s="296" customFormat="1" ht="22.5" customHeight="1">
      <c r="A7" s="292" t="s">
        <v>1</v>
      </c>
      <c r="B7" s="297" t="s">
        <v>38</v>
      </c>
      <c r="C7" s="39">
        <f>C8+C46+C122</f>
        <v>8180000000</v>
      </c>
      <c r="D7" s="39">
        <f>D8+D46+D122</f>
        <v>12925862000</v>
      </c>
      <c r="E7" s="39">
        <f>E8+E46+E122</f>
        <v>105000000</v>
      </c>
      <c r="F7" s="39">
        <f>F8+F46+F122+F144+F146</f>
        <v>24771545689</v>
      </c>
      <c r="G7" s="39">
        <f>G8+G46+G122+G144+G146+G129+G145</f>
        <v>12861338461</v>
      </c>
      <c r="H7" s="76">
        <f>G7/F7*100</f>
        <v>51.919805984134356</v>
      </c>
      <c r="I7" s="295"/>
      <c r="J7" s="295"/>
    </row>
    <row r="8" spans="1:10" s="296" customFormat="1" ht="22.5" customHeight="1">
      <c r="A8" s="292" t="s">
        <v>2</v>
      </c>
      <c r="B8" s="298" t="s">
        <v>39</v>
      </c>
      <c r="C8" s="39">
        <f>SUM(C9)</f>
        <v>3500000000</v>
      </c>
      <c r="D8" s="39">
        <f>D9+D20+D28</f>
        <v>8252000000</v>
      </c>
      <c r="E8" s="39">
        <f>E9+E20+E28</f>
        <v>0</v>
      </c>
      <c r="F8" s="39">
        <f>F9+F20+F28</f>
        <v>12271361000</v>
      </c>
      <c r="G8" s="39">
        <f>G9+G20+G28+G42</f>
        <v>6517194500</v>
      </c>
      <c r="H8" s="76">
        <f>G8/F8*100</f>
        <v>53.108978702525334</v>
      </c>
      <c r="J8" s="295"/>
    </row>
    <row r="9" spans="1:10" s="294" customFormat="1" ht="26.25" customHeight="1">
      <c r="A9" s="299">
        <v>1</v>
      </c>
      <c r="B9" s="300" t="s">
        <v>73</v>
      </c>
      <c r="C9" s="101">
        <v>3500000000</v>
      </c>
      <c r="D9" s="101">
        <f>SUM(D10:D18)</f>
        <v>4626000000</v>
      </c>
      <c r="E9" s="101">
        <f>SUM(E10:E18)</f>
        <v>0</v>
      </c>
      <c r="F9" s="101">
        <f>F10+F13+F14+F15+F18+F19</f>
        <v>5237824000</v>
      </c>
      <c r="G9" s="101">
        <f>G10+G13+G14+G15+G18+G19</f>
        <v>4008654000</v>
      </c>
      <c r="H9" s="273"/>
      <c r="I9" s="293"/>
    </row>
    <row r="10" spans="1:10" s="304" customFormat="1" ht="24.75" customHeight="1">
      <c r="A10" s="301" t="s">
        <v>6</v>
      </c>
      <c r="B10" s="302" t="s">
        <v>356</v>
      </c>
      <c r="C10" s="79"/>
      <c r="D10" s="79">
        <v>225000000</v>
      </c>
      <c r="E10" s="79"/>
      <c r="F10" s="79">
        <f>SUM(F11:F12)</f>
        <v>233824000</v>
      </c>
      <c r="G10" s="79">
        <v>232383000</v>
      </c>
      <c r="H10" s="274"/>
      <c r="I10" s="303"/>
    </row>
    <row r="11" spans="1:10" s="304" customFormat="1" ht="24.75" customHeight="1">
      <c r="A11" s="301"/>
      <c r="B11" s="302" t="s">
        <v>403</v>
      </c>
      <c r="C11" s="79"/>
      <c r="D11" s="79"/>
      <c r="E11" s="79"/>
      <c r="F11" s="79">
        <v>225000000</v>
      </c>
      <c r="G11" s="79"/>
      <c r="H11" s="274"/>
      <c r="I11" s="205"/>
    </row>
    <row r="12" spans="1:10" s="304" customFormat="1" ht="24.75" customHeight="1">
      <c r="A12" s="301"/>
      <c r="B12" s="302" t="s">
        <v>404</v>
      </c>
      <c r="C12" s="79"/>
      <c r="D12" s="79"/>
      <c r="E12" s="79"/>
      <c r="F12" s="79">
        <v>8824000</v>
      </c>
      <c r="G12" s="79"/>
      <c r="H12" s="274"/>
    </row>
    <row r="13" spans="1:10" s="304" customFormat="1" ht="24.75" customHeight="1">
      <c r="A13" s="301" t="s">
        <v>7</v>
      </c>
      <c r="B13" s="305" t="s">
        <v>357</v>
      </c>
      <c r="C13" s="44"/>
      <c r="D13" s="44">
        <v>904000000</v>
      </c>
      <c r="E13" s="44"/>
      <c r="F13" s="44">
        <v>904000000</v>
      </c>
      <c r="G13" s="44">
        <v>873756000</v>
      </c>
      <c r="H13" s="275"/>
    </row>
    <row r="14" spans="1:10" s="304" customFormat="1" ht="24.75" customHeight="1">
      <c r="A14" s="301" t="s">
        <v>8</v>
      </c>
      <c r="B14" s="305" t="s">
        <v>358</v>
      </c>
      <c r="C14" s="44"/>
      <c r="D14" s="44">
        <v>200000000</v>
      </c>
      <c r="E14" s="44"/>
      <c r="F14" s="44">
        <f>D14</f>
        <v>200000000</v>
      </c>
      <c r="G14" s="44">
        <v>193589000</v>
      </c>
      <c r="H14" s="275"/>
    </row>
    <row r="15" spans="1:10" s="304" customFormat="1" ht="24.75" customHeight="1">
      <c r="A15" s="306" t="s">
        <v>9</v>
      </c>
      <c r="B15" s="305" t="s">
        <v>359</v>
      </c>
      <c r="C15" s="44"/>
      <c r="D15" s="44">
        <v>500000000</v>
      </c>
      <c r="E15" s="44"/>
      <c r="F15" s="44">
        <f>SUM(F16:F17)</f>
        <v>603000000</v>
      </c>
      <c r="G15" s="44">
        <v>599201000</v>
      </c>
      <c r="H15" s="275"/>
    </row>
    <row r="16" spans="1:10" s="304" customFormat="1" ht="24.75" customHeight="1">
      <c r="A16" s="306"/>
      <c r="B16" s="302" t="s">
        <v>403</v>
      </c>
      <c r="C16" s="44"/>
      <c r="D16" s="44"/>
      <c r="E16" s="44"/>
      <c r="F16" s="44">
        <v>500000000</v>
      </c>
      <c r="G16" s="44"/>
      <c r="H16" s="275"/>
    </row>
    <row r="17" spans="1:9" s="304" customFormat="1" ht="24.75" customHeight="1">
      <c r="A17" s="306"/>
      <c r="B17" s="302" t="s">
        <v>404</v>
      </c>
      <c r="C17" s="44"/>
      <c r="D17" s="44"/>
      <c r="E17" s="44"/>
      <c r="F17" s="44">
        <v>103000000</v>
      </c>
      <c r="G17" s="44"/>
      <c r="H17" s="275"/>
    </row>
    <row r="18" spans="1:9" s="307" customFormat="1" ht="36.75" customHeight="1">
      <c r="A18" s="306" t="s">
        <v>119</v>
      </c>
      <c r="B18" s="305" t="s">
        <v>360</v>
      </c>
      <c r="C18" s="44"/>
      <c r="D18" s="44">
        <v>2797000000</v>
      </c>
      <c r="E18" s="44"/>
      <c r="F18" s="44">
        <f>D18</f>
        <v>2797000000</v>
      </c>
      <c r="G18" s="44">
        <v>1673621000</v>
      </c>
      <c r="H18" s="275"/>
    </row>
    <row r="19" spans="1:9" s="307" customFormat="1" ht="47.25">
      <c r="A19" s="308">
        <v>1.6</v>
      </c>
      <c r="B19" s="309" t="s">
        <v>417</v>
      </c>
      <c r="C19" s="102"/>
      <c r="D19" s="102"/>
      <c r="E19" s="102"/>
      <c r="F19" s="102">
        <v>500000000</v>
      </c>
      <c r="G19" s="102">
        <v>436104000</v>
      </c>
      <c r="H19" s="276"/>
    </row>
    <row r="20" spans="1:9" s="294" customFormat="1" ht="22.5" customHeight="1">
      <c r="A20" s="299">
        <v>2</v>
      </c>
      <c r="B20" s="300" t="s">
        <v>149</v>
      </c>
      <c r="C20" s="101"/>
      <c r="D20" s="101">
        <f>SUM(D21:D22)</f>
        <v>2145000000</v>
      </c>
      <c r="E20" s="101">
        <f>SUM(E21:E22)</f>
        <v>0</v>
      </c>
      <c r="F20" s="101">
        <f>SUM(F21:F27)</f>
        <v>5368000000</v>
      </c>
      <c r="G20" s="101">
        <f>SUM(G21:G27)</f>
        <v>1150447000</v>
      </c>
      <c r="H20" s="273"/>
    </row>
    <row r="21" spans="1:9" s="304" customFormat="1" ht="22.5" customHeight="1">
      <c r="A21" s="310" t="s">
        <v>10</v>
      </c>
      <c r="B21" s="311" t="s">
        <v>361</v>
      </c>
      <c r="C21" s="150"/>
      <c r="D21" s="150">
        <v>1250000000</v>
      </c>
      <c r="E21" s="150"/>
      <c r="F21" s="150">
        <f>D21</f>
        <v>1250000000</v>
      </c>
      <c r="G21" s="150"/>
      <c r="H21" s="277"/>
    </row>
    <row r="22" spans="1:9" s="304" customFormat="1" ht="33.75" customHeight="1">
      <c r="A22" s="306" t="s">
        <v>378</v>
      </c>
      <c r="B22" s="305" t="s">
        <v>377</v>
      </c>
      <c r="C22" s="44"/>
      <c r="D22" s="44">
        <v>895000000</v>
      </c>
      <c r="E22" s="44"/>
      <c r="F22" s="44">
        <f>D22</f>
        <v>895000000</v>
      </c>
      <c r="G22" s="44">
        <f>361129000+237114000</f>
        <v>598243000</v>
      </c>
      <c r="H22" s="275"/>
    </row>
    <row r="23" spans="1:9" s="304" customFormat="1" ht="23.25" customHeight="1">
      <c r="A23" s="306" t="s">
        <v>406</v>
      </c>
      <c r="B23" s="305" t="s">
        <v>407</v>
      </c>
      <c r="C23" s="44"/>
      <c r="D23" s="44"/>
      <c r="E23" s="44"/>
      <c r="F23" s="44">
        <v>100000000</v>
      </c>
      <c r="G23" s="44"/>
      <c r="H23" s="275"/>
    </row>
    <row r="24" spans="1:9" s="304" customFormat="1" ht="33.75" customHeight="1">
      <c r="A24" s="306" t="s">
        <v>408</v>
      </c>
      <c r="B24" s="305" t="s">
        <v>409</v>
      </c>
      <c r="C24" s="44"/>
      <c r="D24" s="44"/>
      <c r="E24" s="44"/>
      <c r="F24" s="44">
        <v>590000000</v>
      </c>
      <c r="G24" s="44">
        <v>552204000</v>
      </c>
      <c r="H24" s="275"/>
    </row>
    <row r="25" spans="1:9" s="304" customFormat="1" ht="33.75" customHeight="1">
      <c r="A25" s="306" t="s">
        <v>419</v>
      </c>
      <c r="B25" s="305" t="s">
        <v>415</v>
      </c>
      <c r="C25" s="44"/>
      <c r="D25" s="44"/>
      <c r="E25" s="44"/>
      <c r="F25" s="44">
        <v>52000000</v>
      </c>
      <c r="G25" s="44"/>
      <c r="H25" s="275"/>
    </row>
    <row r="26" spans="1:9" s="304" customFormat="1" ht="33.75" customHeight="1">
      <c r="A26" s="306" t="s">
        <v>420</v>
      </c>
      <c r="B26" s="305" t="s">
        <v>416</v>
      </c>
      <c r="C26" s="44"/>
      <c r="D26" s="44"/>
      <c r="E26" s="44"/>
      <c r="F26" s="44">
        <v>81000000</v>
      </c>
      <c r="G26" s="44"/>
      <c r="H26" s="275"/>
    </row>
    <row r="27" spans="1:9" s="304" customFormat="1" ht="55.5" customHeight="1">
      <c r="A27" s="308" t="s">
        <v>421</v>
      </c>
      <c r="B27" s="309" t="s">
        <v>424</v>
      </c>
      <c r="C27" s="102"/>
      <c r="D27" s="102"/>
      <c r="E27" s="102"/>
      <c r="F27" s="102">
        <v>2400000000</v>
      </c>
      <c r="G27" s="102"/>
      <c r="H27" s="276"/>
    </row>
    <row r="28" spans="1:9" s="294" customFormat="1" ht="24.75" customHeight="1">
      <c r="A28" s="299">
        <v>3</v>
      </c>
      <c r="B28" s="300" t="s">
        <v>40</v>
      </c>
      <c r="C28" s="101"/>
      <c r="D28" s="101">
        <f>SUM(D29:D38)</f>
        <v>1481000000</v>
      </c>
      <c r="E28" s="101">
        <f>SUM(E29:E38)</f>
        <v>0</v>
      </c>
      <c r="F28" s="101">
        <f>SUM(F29:F41)</f>
        <v>1665537000</v>
      </c>
      <c r="G28" s="101">
        <f>SUM(G29:G41)</f>
        <v>1070953000</v>
      </c>
      <c r="H28" s="273"/>
    </row>
    <row r="29" spans="1:9" s="304" customFormat="1" ht="36.75" customHeight="1">
      <c r="A29" s="310" t="s">
        <v>16</v>
      </c>
      <c r="B29" s="311" t="s">
        <v>362</v>
      </c>
      <c r="C29" s="150"/>
      <c r="D29" s="150">
        <v>200000000</v>
      </c>
      <c r="E29" s="150"/>
      <c r="F29" s="150">
        <v>200000000</v>
      </c>
      <c r="G29" s="150">
        <v>90048000</v>
      </c>
      <c r="H29" s="277"/>
      <c r="I29" s="303"/>
    </row>
    <row r="30" spans="1:9" s="304" customFormat="1" ht="36.75" customHeight="1">
      <c r="A30" s="306" t="s">
        <v>97</v>
      </c>
      <c r="B30" s="305" t="s">
        <v>363</v>
      </c>
      <c r="C30" s="44"/>
      <c r="D30" s="44">
        <v>299000000</v>
      </c>
      <c r="E30" s="44"/>
      <c r="F30" s="44">
        <f>D30</f>
        <v>299000000</v>
      </c>
      <c r="G30" s="44">
        <v>265458000</v>
      </c>
      <c r="H30" s="275"/>
    </row>
    <row r="31" spans="1:9" s="304" customFormat="1" ht="22.5" customHeight="1">
      <c r="A31" s="306" t="s">
        <v>19</v>
      </c>
      <c r="B31" s="305" t="s">
        <v>293</v>
      </c>
      <c r="C31" s="44"/>
      <c r="D31" s="44">
        <v>50000000</v>
      </c>
      <c r="E31" s="44"/>
      <c r="F31" s="44">
        <f t="shared" ref="F31:F38" si="0">D31</f>
        <v>50000000</v>
      </c>
      <c r="G31" s="44">
        <v>50000000</v>
      </c>
      <c r="H31" s="275"/>
    </row>
    <row r="32" spans="1:9" s="304" customFormat="1" ht="22.5" customHeight="1">
      <c r="A32" s="306" t="s">
        <v>295</v>
      </c>
      <c r="B32" s="305" t="s">
        <v>364</v>
      </c>
      <c r="C32" s="44"/>
      <c r="D32" s="44">
        <v>50000000</v>
      </c>
      <c r="E32" s="44"/>
      <c r="F32" s="44">
        <v>50000000</v>
      </c>
      <c r="G32" s="44"/>
      <c r="H32" s="275"/>
    </row>
    <row r="33" spans="1:9" s="304" customFormat="1" ht="36.75" customHeight="1">
      <c r="A33" s="306" t="s">
        <v>366</v>
      </c>
      <c r="B33" s="305" t="s">
        <v>365</v>
      </c>
      <c r="C33" s="44"/>
      <c r="D33" s="44">
        <v>400000000</v>
      </c>
      <c r="E33" s="44"/>
      <c r="F33" s="44">
        <f t="shared" si="0"/>
        <v>400000000</v>
      </c>
      <c r="G33" s="44"/>
      <c r="H33" s="275"/>
    </row>
    <row r="34" spans="1:9" s="304" customFormat="1" ht="35.25" customHeight="1">
      <c r="A34" s="306" t="s">
        <v>367</v>
      </c>
      <c r="B34" s="305" t="s">
        <v>369</v>
      </c>
      <c r="C34" s="44"/>
      <c r="D34" s="44">
        <v>65000000</v>
      </c>
      <c r="E34" s="44"/>
      <c r="F34" s="44">
        <f t="shared" si="0"/>
        <v>65000000</v>
      </c>
      <c r="G34" s="44">
        <v>65000000</v>
      </c>
      <c r="H34" s="275"/>
    </row>
    <row r="35" spans="1:9" s="304" customFormat="1" ht="22.5" customHeight="1">
      <c r="A35" s="306" t="s">
        <v>368</v>
      </c>
      <c r="B35" s="305" t="s">
        <v>370</v>
      </c>
      <c r="C35" s="44"/>
      <c r="D35" s="44">
        <v>80000000</v>
      </c>
      <c r="E35" s="44"/>
      <c r="F35" s="44">
        <f t="shared" si="0"/>
        <v>80000000</v>
      </c>
      <c r="G35" s="44">
        <v>80000000</v>
      </c>
      <c r="H35" s="275"/>
    </row>
    <row r="36" spans="1:9" s="304" customFormat="1" ht="22.5" customHeight="1">
      <c r="A36" s="306" t="s">
        <v>372</v>
      </c>
      <c r="B36" s="305" t="s">
        <v>371</v>
      </c>
      <c r="C36" s="44"/>
      <c r="D36" s="44">
        <v>200000000</v>
      </c>
      <c r="E36" s="44"/>
      <c r="F36" s="44">
        <f t="shared" si="0"/>
        <v>200000000</v>
      </c>
      <c r="G36" s="44">
        <f>100000000+99710000</f>
        <v>199710000</v>
      </c>
      <c r="H36" s="275"/>
    </row>
    <row r="37" spans="1:9" s="304" customFormat="1" ht="22.5" customHeight="1">
      <c r="A37" s="306" t="s">
        <v>373</v>
      </c>
      <c r="B37" s="305" t="s">
        <v>375</v>
      </c>
      <c r="C37" s="44"/>
      <c r="D37" s="44">
        <v>100000000</v>
      </c>
      <c r="E37" s="44"/>
      <c r="F37" s="44">
        <f t="shared" si="0"/>
        <v>100000000</v>
      </c>
      <c r="G37" s="44">
        <v>100000000</v>
      </c>
      <c r="H37" s="275"/>
    </row>
    <row r="38" spans="1:9" s="304" customFormat="1" ht="35.25" customHeight="1">
      <c r="A38" s="306" t="s">
        <v>374</v>
      </c>
      <c r="B38" s="305" t="s">
        <v>376</v>
      </c>
      <c r="C38" s="44"/>
      <c r="D38" s="44">
        <v>37000000</v>
      </c>
      <c r="E38" s="44"/>
      <c r="F38" s="44">
        <f t="shared" si="0"/>
        <v>37000000</v>
      </c>
      <c r="G38" s="44">
        <v>37000000</v>
      </c>
      <c r="H38" s="275"/>
    </row>
    <row r="39" spans="1:9" s="304" customFormat="1" ht="22.5" customHeight="1">
      <c r="A39" s="306" t="s">
        <v>411</v>
      </c>
      <c r="B39" s="305" t="s">
        <v>410</v>
      </c>
      <c r="C39" s="44"/>
      <c r="D39" s="44"/>
      <c r="E39" s="44"/>
      <c r="F39" s="44">
        <v>34537000</v>
      </c>
      <c r="G39" s="44">
        <v>34537000</v>
      </c>
      <c r="H39" s="275"/>
    </row>
    <row r="40" spans="1:9" s="304" customFormat="1" ht="22.5" customHeight="1">
      <c r="A40" s="306" t="s">
        <v>412</v>
      </c>
      <c r="B40" s="305" t="s">
        <v>414</v>
      </c>
      <c r="C40" s="44"/>
      <c r="D40" s="44"/>
      <c r="E40" s="44"/>
      <c r="F40" s="44">
        <v>50000000</v>
      </c>
      <c r="G40" s="44">
        <v>50000000</v>
      </c>
      <c r="H40" s="275"/>
    </row>
    <row r="41" spans="1:9" s="304" customFormat="1" ht="35.25" customHeight="1">
      <c r="A41" s="308" t="s">
        <v>413</v>
      </c>
      <c r="B41" s="309" t="s">
        <v>418</v>
      </c>
      <c r="C41" s="102"/>
      <c r="D41" s="102"/>
      <c r="E41" s="102"/>
      <c r="F41" s="102">
        <v>100000000</v>
      </c>
      <c r="G41" s="102">
        <v>99200000</v>
      </c>
      <c r="H41" s="276"/>
    </row>
    <row r="42" spans="1:9" s="294" customFormat="1" ht="21.75" customHeight="1">
      <c r="A42" s="312">
        <v>4</v>
      </c>
      <c r="B42" s="313" t="s">
        <v>429</v>
      </c>
      <c r="C42" s="269"/>
      <c r="D42" s="269"/>
      <c r="E42" s="269"/>
      <c r="F42" s="269"/>
      <c r="G42" s="269">
        <f>SUM(G43:G45)</f>
        <v>287140500</v>
      </c>
      <c r="H42" s="278"/>
    </row>
    <row r="43" spans="1:9" s="304" customFormat="1" ht="54.75" customHeight="1">
      <c r="A43" s="314" t="s">
        <v>123</v>
      </c>
      <c r="B43" s="315" t="s">
        <v>288</v>
      </c>
      <c r="C43" s="268"/>
      <c r="D43" s="268"/>
      <c r="E43" s="268"/>
      <c r="F43" s="268"/>
      <c r="G43" s="268">
        <v>193674000</v>
      </c>
      <c r="H43" s="279"/>
    </row>
    <row r="44" spans="1:9" s="304" customFormat="1" ht="23.25" customHeight="1">
      <c r="A44" s="314" t="s">
        <v>124</v>
      </c>
      <c r="B44" s="315" t="s">
        <v>430</v>
      </c>
      <c r="C44" s="268"/>
      <c r="D44" s="268"/>
      <c r="E44" s="268"/>
      <c r="F44" s="268"/>
      <c r="G44" s="268">
        <v>21180000</v>
      </c>
      <c r="H44" s="279"/>
    </row>
    <row r="45" spans="1:9" s="304" customFormat="1" ht="23.25" customHeight="1">
      <c r="A45" s="314" t="s">
        <v>128</v>
      </c>
      <c r="B45" s="315" t="s">
        <v>431</v>
      </c>
      <c r="C45" s="268"/>
      <c r="D45" s="268"/>
      <c r="E45" s="268"/>
      <c r="F45" s="268"/>
      <c r="G45" s="268">
        <v>72286500</v>
      </c>
      <c r="H45" s="279"/>
    </row>
    <row r="46" spans="1:9" s="296" customFormat="1" ht="21" customHeight="1">
      <c r="A46" s="292" t="s">
        <v>3</v>
      </c>
      <c r="B46" s="298" t="s">
        <v>40</v>
      </c>
      <c r="C46" s="39">
        <f>C47+C59+C63+C66+C69+C70+C71+C74</f>
        <v>4544000000</v>
      </c>
      <c r="D46" s="39">
        <f>D47+D59+D63+D66+D69+D70+D71+D74</f>
        <v>4537862000</v>
      </c>
      <c r="E46" s="39">
        <f>E47+E59+E63+E66+E69+E70+E71+E74</f>
        <v>105000000</v>
      </c>
      <c r="F46" s="39">
        <f>F47+F59+F63+F66+F69+F70+F71+F74</f>
        <v>4432862000</v>
      </c>
      <c r="G46" s="39">
        <f>G47+G59+G63+G66+G69+G70+G71+G74</f>
        <v>4548742017</v>
      </c>
      <c r="H46" s="76">
        <f>G46/F46*100</f>
        <v>102.61411289140064</v>
      </c>
    </row>
    <row r="47" spans="1:9" s="296" customFormat="1" ht="22.5" customHeight="1">
      <c r="A47" s="316">
        <v>1</v>
      </c>
      <c r="B47" s="317" t="s">
        <v>330</v>
      </c>
      <c r="C47" s="83">
        <v>430000000</v>
      </c>
      <c r="D47" s="83">
        <f>D48+D55+D58</f>
        <v>430000000</v>
      </c>
      <c r="E47" s="83">
        <f>E48+E55+E58</f>
        <v>6000000</v>
      </c>
      <c r="F47" s="83">
        <f>F48+F55+F58</f>
        <v>424000000</v>
      </c>
      <c r="G47" s="83">
        <f>G48+G55+G58</f>
        <v>415001128</v>
      </c>
      <c r="H47" s="280"/>
    </row>
    <row r="48" spans="1:9" s="294" customFormat="1" ht="22.5" customHeight="1">
      <c r="A48" s="318" t="s">
        <v>6</v>
      </c>
      <c r="B48" s="319" t="s">
        <v>262</v>
      </c>
      <c r="C48" s="58"/>
      <c r="D48" s="58">
        <f>SUM(D49:D54)</f>
        <v>298720000</v>
      </c>
      <c r="E48" s="58">
        <f>SUM(E49:E54)</f>
        <v>4000000</v>
      </c>
      <c r="F48" s="58">
        <f>SUM(F49:F54)</f>
        <v>294720000</v>
      </c>
      <c r="G48" s="58">
        <f>SUM(G49:G54)</f>
        <v>293021078</v>
      </c>
      <c r="H48" s="146"/>
      <c r="I48" s="293"/>
    </row>
    <row r="49" spans="1:10" s="304" customFormat="1" ht="22.5" customHeight="1">
      <c r="A49" s="306"/>
      <c r="B49" s="320" t="s">
        <v>48</v>
      </c>
      <c r="C49" s="44"/>
      <c r="D49" s="44">
        <v>85396800</v>
      </c>
      <c r="E49" s="44"/>
      <c r="F49" s="44">
        <f>D49</f>
        <v>85396800</v>
      </c>
      <c r="G49" s="44">
        <f>41660400+42225000</f>
        <v>83885400</v>
      </c>
      <c r="H49" s="321"/>
    </row>
    <row r="50" spans="1:10" s="304" customFormat="1" ht="22.5" customHeight="1">
      <c r="A50" s="306"/>
      <c r="B50" s="320" t="s">
        <v>50</v>
      </c>
      <c r="C50" s="44"/>
      <c r="D50" s="44">
        <v>37905600</v>
      </c>
      <c r="E50" s="44"/>
      <c r="F50" s="44">
        <f>D50</f>
        <v>37905600</v>
      </c>
      <c r="G50" s="44">
        <v>44493200</v>
      </c>
      <c r="H50" s="321"/>
      <c r="I50" s="303"/>
    </row>
    <row r="51" spans="1:10" s="304" customFormat="1" ht="22.5" customHeight="1">
      <c r="A51" s="306"/>
      <c r="B51" s="320" t="s">
        <v>49</v>
      </c>
      <c r="C51" s="44"/>
      <c r="D51" s="44">
        <v>10572444</v>
      </c>
      <c r="E51" s="44"/>
      <c r="F51" s="44">
        <f>D51</f>
        <v>10572444</v>
      </c>
      <c r="G51" s="44">
        <f>5672728</f>
        <v>5672728</v>
      </c>
      <c r="H51" s="321"/>
    </row>
    <row r="52" spans="1:10" s="304" customFormat="1" ht="22.5" customHeight="1">
      <c r="A52" s="306"/>
      <c r="B52" s="320" t="s">
        <v>340</v>
      </c>
      <c r="C52" s="44"/>
      <c r="D52" s="44">
        <v>124845156</v>
      </c>
      <c r="E52" s="44"/>
      <c r="F52" s="44">
        <f>D52-65000000</f>
        <v>59845156</v>
      </c>
      <c r="G52" s="44">
        <v>63205800</v>
      </c>
      <c r="H52" s="321"/>
      <c r="I52" s="303"/>
    </row>
    <row r="53" spans="1:10" s="304" customFormat="1" ht="22.5" customHeight="1">
      <c r="A53" s="306"/>
      <c r="B53" s="320" t="s">
        <v>422</v>
      </c>
      <c r="C53" s="44"/>
      <c r="D53" s="44"/>
      <c r="E53" s="44"/>
      <c r="F53" s="44">
        <v>65000000</v>
      </c>
      <c r="G53" s="44">
        <v>59763950</v>
      </c>
      <c r="H53" s="321"/>
      <c r="I53" s="205"/>
      <c r="J53" s="303"/>
    </row>
    <row r="54" spans="1:10" s="304" customFormat="1" ht="22.5" customHeight="1">
      <c r="A54" s="306"/>
      <c r="B54" s="320" t="s">
        <v>354</v>
      </c>
      <c r="C54" s="44"/>
      <c r="D54" s="44">
        <v>40000000</v>
      </c>
      <c r="E54" s="44">
        <f>D54*10%</f>
        <v>4000000</v>
      </c>
      <c r="F54" s="44">
        <f>D54-E54</f>
        <v>36000000</v>
      </c>
      <c r="G54" s="44">
        <v>36000000</v>
      </c>
      <c r="H54" s="321"/>
    </row>
    <row r="55" spans="1:10" s="294" customFormat="1" ht="24.75" customHeight="1">
      <c r="A55" s="318" t="s">
        <v>7</v>
      </c>
      <c r="B55" s="319" t="s">
        <v>263</v>
      </c>
      <c r="C55" s="58"/>
      <c r="D55" s="58">
        <f>D57+D56</f>
        <v>127280000</v>
      </c>
      <c r="E55" s="58">
        <f>E57+E56</f>
        <v>2000000</v>
      </c>
      <c r="F55" s="58">
        <f>F57+F56</f>
        <v>125280000</v>
      </c>
      <c r="G55" s="58">
        <f>G57+G56</f>
        <v>118887000</v>
      </c>
      <c r="H55" s="146"/>
      <c r="I55" s="293"/>
    </row>
    <row r="56" spans="1:10" s="304" customFormat="1" ht="24.75" customHeight="1">
      <c r="A56" s="306"/>
      <c r="B56" s="320" t="s">
        <v>381</v>
      </c>
      <c r="C56" s="44"/>
      <c r="D56" s="44">
        <v>107280000</v>
      </c>
      <c r="E56" s="44"/>
      <c r="F56" s="44">
        <f>D56</f>
        <v>107280000</v>
      </c>
      <c r="G56" s="44">
        <v>97744000</v>
      </c>
      <c r="H56" s="321"/>
    </row>
    <row r="57" spans="1:10" s="304" customFormat="1" ht="23.25" customHeight="1">
      <c r="A57" s="306"/>
      <c r="B57" s="320" t="s">
        <v>379</v>
      </c>
      <c r="C57" s="44"/>
      <c r="D57" s="44">
        <v>20000000</v>
      </c>
      <c r="E57" s="44">
        <f>D57*10%</f>
        <v>2000000</v>
      </c>
      <c r="F57" s="44">
        <f>D57-E57</f>
        <v>18000000</v>
      </c>
      <c r="G57" s="44">
        <v>21143000</v>
      </c>
      <c r="H57" s="321"/>
      <c r="I57" s="303"/>
    </row>
    <row r="58" spans="1:10" s="294" customFormat="1" ht="23.25" customHeight="1">
      <c r="A58" s="318">
        <v>1.3</v>
      </c>
      <c r="B58" s="322" t="s">
        <v>380</v>
      </c>
      <c r="C58" s="58"/>
      <c r="D58" s="58">
        <v>4000000</v>
      </c>
      <c r="E58" s="58"/>
      <c r="F58" s="58">
        <f>D58</f>
        <v>4000000</v>
      </c>
      <c r="G58" s="58">
        <f>3093050</f>
        <v>3093050</v>
      </c>
      <c r="H58" s="323"/>
    </row>
    <row r="59" spans="1:10" s="296" customFormat="1" ht="25.5" customHeight="1">
      <c r="A59" s="324">
        <v>2</v>
      </c>
      <c r="B59" s="325" t="s">
        <v>257</v>
      </c>
      <c r="C59" s="61">
        <v>70000000</v>
      </c>
      <c r="D59" s="61">
        <v>70000000</v>
      </c>
      <c r="E59" s="61">
        <v>7000000</v>
      </c>
      <c r="F59" s="61">
        <f>D59-E59</f>
        <v>63000000</v>
      </c>
      <c r="G59" s="61">
        <f>SUM(G60:G62)</f>
        <v>63000000</v>
      </c>
      <c r="H59" s="281">
        <f>G59/F59*100</f>
        <v>100</v>
      </c>
    </row>
    <row r="60" spans="1:10" s="294" customFormat="1" ht="25.5" customHeight="1">
      <c r="A60" s="318"/>
      <c r="B60" s="319" t="s">
        <v>451</v>
      </c>
      <c r="C60" s="58"/>
      <c r="D60" s="58"/>
      <c r="E60" s="58"/>
      <c r="F60" s="58"/>
      <c r="G60" s="58">
        <v>18000000</v>
      </c>
      <c r="H60" s="282"/>
    </row>
    <row r="61" spans="1:10" s="294" customFormat="1" ht="25.5" customHeight="1">
      <c r="A61" s="318"/>
      <c r="B61" s="319" t="s">
        <v>452</v>
      </c>
      <c r="C61" s="58"/>
      <c r="D61" s="58"/>
      <c r="E61" s="58"/>
      <c r="F61" s="58"/>
      <c r="G61" s="58">
        <v>30000000</v>
      </c>
      <c r="H61" s="282"/>
    </row>
    <row r="62" spans="1:10" s="294" customFormat="1" ht="25.5" customHeight="1">
      <c r="A62" s="318"/>
      <c r="B62" s="319" t="s">
        <v>32</v>
      </c>
      <c r="C62" s="58"/>
      <c r="D62" s="58"/>
      <c r="E62" s="58"/>
      <c r="F62" s="58"/>
      <c r="G62" s="58">
        <f>15000000</f>
        <v>15000000</v>
      </c>
      <c r="H62" s="282"/>
    </row>
    <row r="63" spans="1:10" s="296" customFormat="1" ht="25.5" customHeight="1">
      <c r="A63" s="324">
        <v>3</v>
      </c>
      <c r="B63" s="325" t="s">
        <v>92</v>
      </c>
      <c r="C63" s="61">
        <v>30000000</v>
      </c>
      <c r="D63" s="61">
        <v>20000000</v>
      </c>
      <c r="E63" s="61">
        <f>D63*10%+1000000</f>
        <v>3000000</v>
      </c>
      <c r="F63" s="61">
        <f>SUM(F64:F65)</f>
        <v>17000000</v>
      </c>
      <c r="G63" s="61">
        <v>15015000</v>
      </c>
      <c r="H63" s="281">
        <f t="shared" ref="H63:H71" si="1">G63/F63*100</f>
        <v>88.323529411764696</v>
      </c>
    </row>
    <row r="64" spans="1:10" s="304" customFormat="1" ht="25.5" customHeight="1">
      <c r="A64" s="306"/>
      <c r="B64" s="302" t="s">
        <v>403</v>
      </c>
      <c r="C64" s="44"/>
      <c r="D64" s="44">
        <v>20000000</v>
      </c>
      <c r="E64" s="44">
        <v>2000000</v>
      </c>
      <c r="F64" s="44">
        <f>D64-E64</f>
        <v>18000000</v>
      </c>
      <c r="G64" s="44"/>
      <c r="H64" s="281"/>
    </row>
    <row r="65" spans="1:9" s="304" customFormat="1" ht="25.5" customHeight="1">
      <c r="A65" s="306"/>
      <c r="B65" s="302" t="s">
        <v>425</v>
      </c>
      <c r="C65" s="44"/>
      <c r="D65" s="44"/>
      <c r="E65" s="44">
        <v>1000000</v>
      </c>
      <c r="F65" s="44">
        <f>D65-E65</f>
        <v>-1000000</v>
      </c>
      <c r="G65" s="44"/>
      <c r="H65" s="281"/>
    </row>
    <row r="66" spans="1:9" s="296" customFormat="1" ht="25.5" customHeight="1">
      <c r="A66" s="324">
        <v>4</v>
      </c>
      <c r="B66" s="325" t="s">
        <v>90</v>
      </c>
      <c r="C66" s="61">
        <f>SUM(C67:C68)</f>
        <v>96000000</v>
      </c>
      <c r="D66" s="61">
        <f>SUM(D67:D68)</f>
        <v>75000000</v>
      </c>
      <c r="E66" s="61">
        <f>SUM(E67:E68)</f>
        <v>7500000</v>
      </c>
      <c r="F66" s="61">
        <f>SUM(F67:F68)</f>
        <v>67500000</v>
      </c>
      <c r="G66" s="61">
        <f>SUM(G67:G68)</f>
        <v>68233600</v>
      </c>
      <c r="H66" s="281">
        <f t="shared" si="1"/>
        <v>101.0868148148148</v>
      </c>
    </row>
    <row r="67" spans="1:9" s="327" customFormat="1" ht="63">
      <c r="A67" s="306"/>
      <c r="B67" s="320" t="s">
        <v>388</v>
      </c>
      <c r="C67" s="44">
        <v>80000000</v>
      </c>
      <c r="D67" s="44">
        <f>15000000+36000000</f>
        <v>51000000</v>
      </c>
      <c r="E67" s="44">
        <f>D67*10%</f>
        <v>5100000</v>
      </c>
      <c r="F67" s="44">
        <f>D67-E67</f>
        <v>45900000</v>
      </c>
      <c r="G67" s="44">
        <v>46633600</v>
      </c>
      <c r="H67" s="281"/>
      <c r="I67" s="326"/>
    </row>
    <row r="68" spans="1:9" s="327" customFormat="1" ht="25.5" customHeight="1">
      <c r="A68" s="306"/>
      <c r="B68" s="320" t="s">
        <v>349</v>
      </c>
      <c r="C68" s="44">
        <v>16000000</v>
      </c>
      <c r="D68" s="44">
        <v>24000000</v>
      </c>
      <c r="E68" s="44">
        <f>D68*10%</f>
        <v>2400000</v>
      </c>
      <c r="F68" s="93">
        <f>D68-E68</f>
        <v>21600000</v>
      </c>
      <c r="G68" s="93">
        <v>21600000</v>
      </c>
      <c r="H68" s="281"/>
    </row>
    <row r="69" spans="1:9" s="296" customFormat="1" ht="25.5" customHeight="1">
      <c r="A69" s="324">
        <v>5</v>
      </c>
      <c r="B69" s="325" t="s">
        <v>93</v>
      </c>
      <c r="C69" s="61">
        <v>30000000</v>
      </c>
      <c r="D69" s="61">
        <v>30000000</v>
      </c>
      <c r="E69" s="61">
        <f>D69*10%</f>
        <v>3000000</v>
      </c>
      <c r="F69" s="61">
        <f>D69-E69</f>
        <v>27000000</v>
      </c>
      <c r="G69" s="61">
        <f>21026000</f>
        <v>21026000</v>
      </c>
      <c r="H69" s="281">
        <f t="shared" si="1"/>
        <v>77.874074074074073</v>
      </c>
    </row>
    <row r="70" spans="1:9" s="296" customFormat="1" ht="25.5" customHeight="1">
      <c r="A70" s="324">
        <v>6</v>
      </c>
      <c r="B70" s="325" t="s">
        <v>258</v>
      </c>
      <c r="C70" s="61">
        <v>40000000</v>
      </c>
      <c r="D70" s="61">
        <v>40000000</v>
      </c>
      <c r="E70" s="61">
        <f>D70*10%</f>
        <v>4000000</v>
      </c>
      <c r="F70" s="61">
        <f>D70-E70</f>
        <v>36000000</v>
      </c>
      <c r="G70" s="61">
        <v>35975000</v>
      </c>
      <c r="H70" s="281">
        <f t="shared" si="1"/>
        <v>99.930555555555557</v>
      </c>
    </row>
    <row r="71" spans="1:9" s="296" customFormat="1" ht="25.5" customHeight="1">
      <c r="A71" s="324">
        <v>7</v>
      </c>
      <c r="B71" s="325" t="s">
        <v>96</v>
      </c>
      <c r="C71" s="61">
        <v>41000000</v>
      </c>
      <c r="D71" s="61">
        <f>41000000-15000000</f>
        <v>26000000</v>
      </c>
      <c r="E71" s="61">
        <f>D71*10%+1000000</f>
        <v>3600000</v>
      </c>
      <c r="F71" s="61">
        <f>SUM(F72:F73)</f>
        <v>22400000</v>
      </c>
      <c r="G71" s="61">
        <v>30918000</v>
      </c>
      <c r="H71" s="281">
        <f t="shared" si="1"/>
        <v>138.02678571428569</v>
      </c>
    </row>
    <row r="72" spans="1:9" s="294" customFormat="1" ht="25.5" customHeight="1">
      <c r="A72" s="318"/>
      <c r="B72" s="302" t="s">
        <v>403</v>
      </c>
      <c r="C72" s="58"/>
      <c r="D72" s="58">
        <v>26000000</v>
      </c>
      <c r="E72" s="58">
        <v>2600000</v>
      </c>
      <c r="F72" s="58">
        <f>D72-E72</f>
        <v>23400000</v>
      </c>
      <c r="G72" s="58"/>
      <c r="H72" s="282"/>
    </row>
    <row r="73" spans="1:9" s="294" customFormat="1" ht="25.5" customHeight="1">
      <c r="A73" s="318"/>
      <c r="B73" s="302" t="s">
        <v>425</v>
      </c>
      <c r="C73" s="58"/>
      <c r="D73" s="58"/>
      <c r="E73" s="58">
        <v>1000000</v>
      </c>
      <c r="F73" s="58">
        <f>D73-E73</f>
        <v>-1000000</v>
      </c>
      <c r="G73" s="58"/>
      <c r="H73" s="282"/>
    </row>
    <row r="74" spans="1:9" s="296" customFormat="1" ht="21" customHeight="1">
      <c r="A74" s="324">
        <v>8</v>
      </c>
      <c r="B74" s="325" t="s">
        <v>43</v>
      </c>
      <c r="C74" s="61">
        <f>C75+C90+C94+C95+C103+C104+C105+C106+C121</f>
        <v>3807000000</v>
      </c>
      <c r="D74" s="61">
        <f>D75+D90+D94+D95+D103+D104+D105+D106+D121+D107+D110+D112+D113+D114+D115+D111+D116+D117+D118+D119+D120</f>
        <v>3846862000</v>
      </c>
      <c r="E74" s="61">
        <f>E75+E90+E94+E95+E103+E104+E105+E106+E121+E107+E110+E112+E113+E114+E115+E111+E116+E117+E118+E119+E120</f>
        <v>70900000</v>
      </c>
      <c r="F74" s="61">
        <f>F75+F90+F94+F95+F103+F104+F105+F106+F121+F107+F110+F112+F113+F114+F115+F111+F116+F117+F118+F119+F120</f>
        <v>3775962000</v>
      </c>
      <c r="G74" s="61">
        <f>G75+G90+G94+G95+G103+G104+G105+G106+G121+G107+G110+G112+G113+G114+G115+G111+G116+G117+G118+G119+G120</f>
        <v>3899573289</v>
      </c>
      <c r="H74" s="283">
        <f>G74/F74*100</f>
        <v>103.27363699634688</v>
      </c>
    </row>
    <row r="75" spans="1:9" s="330" customFormat="1" ht="21" customHeight="1">
      <c r="A75" s="328" t="s">
        <v>299</v>
      </c>
      <c r="B75" s="329" t="s">
        <v>160</v>
      </c>
      <c r="C75" s="6">
        <v>2920000000</v>
      </c>
      <c r="D75" s="6">
        <f>D76+D82+D85</f>
        <v>2920000000</v>
      </c>
      <c r="E75" s="6">
        <f>E76+E82+E85</f>
        <v>0</v>
      </c>
      <c r="F75" s="6">
        <f>F76+F82+F85</f>
        <v>2920000000</v>
      </c>
      <c r="G75" s="6">
        <f>G76+G82+G85</f>
        <v>3054184801</v>
      </c>
      <c r="H75" s="91"/>
      <c r="I75" s="267"/>
    </row>
    <row r="76" spans="1:9" s="330" customFormat="1" ht="21" customHeight="1">
      <c r="A76" s="328"/>
      <c r="B76" s="331" t="s">
        <v>67</v>
      </c>
      <c r="C76" s="6"/>
      <c r="D76" s="6">
        <f>SUM(D77:D81)</f>
        <v>2070944248</v>
      </c>
      <c r="E76" s="6">
        <f>SUM(E77:E81)</f>
        <v>0</v>
      </c>
      <c r="F76" s="6">
        <f>SUM(F77:F81)</f>
        <v>2070944248</v>
      </c>
      <c r="G76" s="6">
        <f>SUM(G77:G81)</f>
        <v>2191164593</v>
      </c>
      <c r="H76" s="91"/>
      <c r="I76" s="332"/>
    </row>
    <row r="77" spans="1:9" s="304" customFormat="1" ht="21" customHeight="1">
      <c r="A77" s="306"/>
      <c r="B77" s="320" t="s">
        <v>146</v>
      </c>
      <c r="C77" s="44"/>
      <c r="D77" s="44">
        <v>1538254348</v>
      </c>
      <c r="E77" s="44"/>
      <c r="F77" s="44">
        <f>D77</f>
        <v>1538254348</v>
      </c>
      <c r="G77" s="44">
        <f>1639689518</f>
        <v>1639689518</v>
      </c>
      <c r="H77" s="321"/>
    </row>
    <row r="78" spans="1:9" s="304" customFormat="1" ht="21" customHeight="1">
      <c r="A78" s="306"/>
      <c r="B78" s="320" t="s">
        <v>44</v>
      </c>
      <c r="C78" s="44"/>
      <c r="D78" s="44">
        <v>312765900</v>
      </c>
      <c r="E78" s="44"/>
      <c r="F78" s="44">
        <f>D78</f>
        <v>312765900</v>
      </c>
      <c r="G78" s="44">
        <v>331551075</v>
      </c>
      <c r="H78" s="321"/>
    </row>
    <row r="79" spans="1:9" s="304" customFormat="1" ht="21" customHeight="1">
      <c r="A79" s="306"/>
      <c r="B79" s="320" t="s">
        <v>46</v>
      </c>
      <c r="C79" s="44"/>
      <c r="D79" s="44">
        <v>75096000</v>
      </c>
      <c r="E79" s="44"/>
      <c r="F79" s="44">
        <f>D79</f>
        <v>75096000</v>
      </c>
      <c r="G79" s="44">
        <v>75096000</v>
      </c>
      <c r="H79" s="321"/>
    </row>
    <row r="80" spans="1:9" s="304" customFormat="1" ht="21" customHeight="1">
      <c r="A80" s="306"/>
      <c r="B80" s="320" t="s">
        <v>68</v>
      </c>
      <c r="C80" s="44"/>
      <c r="D80" s="44">
        <v>134100000</v>
      </c>
      <c r="E80" s="44"/>
      <c r="F80" s="44">
        <f>D80</f>
        <v>134100000</v>
      </c>
      <c r="G80" s="44">
        <v>134100000</v>
      </c>
      <c r="H80" s="321"/>
    </row>
    <row r="81" spans="1:9" s="304" customFormat="1" ht="21" customHeight="1">
      <c r="A81" s="306"/>
      <c r="B81" s="320" t="s">
        <v>69</v>
      </c>
      <c r="C81" s="44"/>
      <c r="D81" s="44">
        <v>10728000</v>
      </c>
      <c r="E81" s="44"/>
      <c r="F81" s="44">
        <f>D81</f>
        <v>10728000</v>
      </c>
      <c r="G81" s="44">
        <v>10728000</v>
      </c>
      <c r="H81" s="321"/>
    </row>
    <row r="82" spans="1:9" s="330" customFormat="1" ht="21" customHeight="1">
      <c r="A82" s="328"/>
      <c r="B82" s="331" t="s">
        <v>70</v>
      </c>
      <c r="C82" s="6"/>
      <c r="D82" s="6">
        <f>D83+D84</f>
        <v>755625600</v>
      </c>
      <c r="E82" s="6">
        <f>E83+E84</f>
        <v>0</v>
      </c>
      <c r="F82" s="6">
        <f>F83+F84</f>
        <v>755625600</v>
      </c>
      <c r="G82" s="6">
        <f>G83+G84</f>
        <v>751818650</v>
      </c>
      <c r="H82" s="91"/>
    </row>
    <row r="83" spans="1:9" s="304" customFormat="1" ht="21" customHeight="1">
      <c r="A83" s="306"/>
      <c r="B83" s="320" t="s">
        <v>327</v>
      </c>
      <c r="C83" s="44"/>
      <c r="D83" s="44">
        <v>735225600</v>
      </c>
      <c r="E83" s="44"/>
      <c r="F83" s="44">
        <f>D83</f>
        <v>735225600</v>
      </c>
      <c r="G83" s="44">
        <f>612427250+117650400+1341000</f>
        <v>731418650</v>
      </c>
      <c r="H83" s="321"/>
    </row>
    <row r="84" spans="1:9" s="304" customFormat="1" ht="21" customHeight="1">
      <c r="A84" s="306"/>
      <c r="B84" s="320" t="s">
        <v>51</v>
      </c>
      <c r="C84" s="44"/>
      <c r="D84" s="44">
        <v>20400000</v>
      </c>
      <c r="E84" s="44"/>
      <c r="F84" s="44">
        <f>D84</f>
        <v>20400000</v>
      </c>
      <c r="G84" s="44">
        <f>F84</f>
        <v>20400000</v>
      </c>
      <c r="H84" s="321"/>
    </row>
    <row r="85" spans="1:9" s="330" customFormat="1" ht="21" customHeight="1">
      <c r="A85" s="328"/>
      <c r="B85" s="331" t="s">
        <v>166</v>
      </c>
      <c r="C85" s="6"/>
      <c r="D85" s="6">
        <f>D86+D87+D88</f>
        <v>93430152</v>
      </c>
      <c r="E85" s="6">
        <f>E86+E87+E88</f>
        <v>0</v>
      </c>
      <c r="F85" s="6">
        <f>F86+F87+F88</f>
        <v>93430152</v>
      </c>
      <c r="G85" s="6">
        <f>G86+G87+G88+G89</f>
        <v>111201558</v>
      </c>
      <c r="H85" s="91"/>
    </row>
    <row r="86" spans="1:9" s="304" customFormat="1" ht="21" customHeight="1">
      <c r="A86" s="306"/>
      <c r="B86" s="320" t="s">
        <v>167</v>
      </c>
      <c r="C86" s="44"/>
      <c r="D86" s="44">
        <v>24234552</v>
      </c>
      <c r="E86" s="44"/>
      <c r="F86" s="44">
        <f>D86</f>
        <v>24234552</v>
      </c>
      <c r="G86" s="44">
        <v>25909908</v>
      </c>
      <c r="H86" s="275"/>
    </row>
    <row r="87" spans="1:9" s="304" customFormat="1" ht="22.5" customHeight="1">
      <c r="A87" s="306"/>
      <c r="B87" s="320" t="s">
        <v>169</v>
      </c>
      <c r="C87" s="44"/>
      <c r="D87" s="44">
        <v>33435600</v>
      </c>
      <c r="E87" s="44"/>
      <c r="F87" s="44">
        <f>D87</f>
        <v>33435600</v>
      </c>
      <c r="G87" s="44">
        <v>45571650</v>
      </c>
      <c r="H87" s="321"/>
    </row>
    <row r="88" spans="1:9" s="304" customFormat="1" ht="18" customHeight="1">
      <c r="A88" s="306"/>
      <c r="B88" s="320" t="s">
        <v>61</v>
      </c>
      <c r="C88" s="44"/>
      <c r="D88" s="44">
        <v>35760000</v>
      </c>
      <c r="E88" s="44"/>
      <c r="F88" s="44">
        <f>D88</f>
        <v>35760000</v>
      </c>
      <c r="G88" s="44">
        <f>F88</f>
        <v>35760000</v>
      </c>
      <c r="H88" s="321"/>
    </row>
    <row r="89" spans="1:9" s="304" customFormat="1" ht="18" customHeight="1">
      <c r="A89" s="306"/>
      <c r="B89" s="320" t="s">
        <v>453</v>
      </c>
      <c r="C89" s="44"/>
      <c r="D89" s="44"/>
      <c r="E89" s="44"/>
      <c r="F89" s="44"/>
      <c r="G89" s="44">
        <v>3960000</v>
      </c>
      <c r="H89" s="321"/>
    </row>
    <row r="90" spans="1:9" s="330" customFormat="1" ht="18" customHeight="1">
      <c r="A90" s="328" t="s">
        <v>300</v>
      </c>
      <c r="B90" s="333" t="s">
        <v>352</v>
      </c>
      <c r="C90" s="58">
        <v>512000000</v>
      </c>
      <c r="D90" s="58">
        <f>SUM(D91:D93)</f>
        <v>377862000</v>
      </c>
      <c r="E90" s="58">
        <f>SUM(E91:E93)</f>
        <v>32700000</v>
      </c>
      <c r="F90" s="58">
        <f>SUM(F91:F93)</f>
        <v>345162000</v>
      </c>
      <c r="G90" s="58">
        <f>SUM(G91:G93)</f>
        <v>338697143</v>
      </c>
      <c r="H90" s="146"/>
    </row>
    <row r="91" spans="1:9" s="304" customFormat="1" ht="18" customHeight="1">
      <c r="A91" s="306"/>
      <c r="B91" s="334" t="s">
        <v>337</v>
      </c>
      <c r="C91" s="44"/>
      <c r="D91" s="44">
        <v>67000000</v>
      </c>
      <c r="E91" s="44">
        <f>D91*10%</f>
        <v>6700000</v>
      </c>
      <c r="F91" s="44">
        <f>D91-E91</f>
        <v>60300000</v>
      </c>
      <c r="G91" s="44">
        <v>59990437</v>
      </c>
      <c r="H91" s="321"/>
      <c r="I91" s="303"/>
    </row>
    <row r="92" spans="1:9" s="304" customFormat="1" ht="21" customHeight="1">
      <c r="A92" s="306"/>
      <c r="B92" s="334" t="s">
        <v>84</v>
      </c>
      <c r="C92" s="44"/>
      <c r="D92" s="44">
        <v>55000000</v>
      </c>
      <c r="E92" s="44">
        <f t="shared" ref="E92:E106" si="2">D92*10%</f>
        <v>5500000</v>
      </c>
      <c r="F92" s="44">
        <f>D92-E92</f>
        <v>49500000</v>
      </c>
      <c r="G92" s="44">
        <v>48984122</v>
      </c>
      <c r="H92" s="323"/>
      <c r="I92" s="303"/>
    </row>
    <row r="93" spans="1:9" s="304" customFormat="1" ht="22.5" customHeight="1">
      <c r="A93" s="306"/>
      <c r="B93" s="334" t="s">
        <v>85</v>
      </c>
      <c r="C93" s="44"/>
      <c r="D93" s="44">
        <v>255862000</v>
      </c>
      <c r="E93" s="44">
        <f>D93*10%-5086200</f>
        <v>20500000</v>
      </c>
      <c r="F93" s="44">
        <f>D93-E93</f>
        <v>235362000</v>
      </c>
      <c r="G93" s="44">
        <v>229722584</v>
      </c>
      <c r="H93" s="323"/>
    </row>
    <row r="94" spans="1:9" s="330" customFormat="1" ht="24" customHeight="1">
      <c r="A94" s="328" t="s">
        <v>301</v>
      </c>
      <c r="B94" s="333" t="s">
        <v>338</v>
      </c>
      <c r="C94" s="58">
        <v>100000000</v>
      </c>
      <c r="D94" s="6">
        <v>100000000</v>
      </c>
      <c r="E94" s="58">
        <f>D94*10%</f>
        <v>10000000</v>
      </c>
      <c r="F94" s="58">
        <f>D94-E94</f>
        <v>90000000</v>
      </c>
      <c r="G94" s="58">
        <v>83899055</v>
      </c>
      <c r="H94" s="323"/>
    </row>
    <row r="95" spans="1:9" s="330" customFormat="1" ht="24" customHeight="1">
      <c r="A95" s="328" t="s">
        <v>302</v>
      </c>
      <c r="B95" s="329" t="s">
        <v>103</v>
      </c>
      <c r="C95" s="58">
        <f>C96+C102</f>
        <v>222000000</v>
      </c>
      <c r="D95" s="58">
        <f>D96+D102</f>
        <v>222000000</v>
      </c>
      <c r="E95" s="58">
        <f>E96+E102</f>
        <v>7500000</v>
      </c>
      <c r="F95" s="58">
        <f>D95-E95</f>
        <v>214500000</v>
      </c>
      <c r="G95" s="58">
        <f>G96+G102</f>
        <v>217849750</v>
      </c>
      <c r="H95" s="146"/>
    </row>
    <row r="96" spans="1:9" s="294" customFormat="1" ht="25.5" customHeight="1">
      <c r="A96" s="318" t="s">
        <v>303</v>
      </c>
      <c r="B96" s="319" t="s">
        <v>283</v>
      </c>
      <c r="C96" s="58">
        <f>SUM(C97:C101)</f>
        <v>75000000</v>
      </c>
      <c r="D96" s="58">
        <f>SUM(D97:D101)</f>
        <v>75000000</v>
      </c>
      <c r="E96" s="58">
        <f>SUM(E97:E101)</f>
        <v>7500000</v>
      </c>
      <c r="F96" s="58">
        <f>SUM(F97:F101)</f>
        <v>67500000</v>
      </c>
      <c r="G96" s="58">
        <f>SUM(G97:G101)</f>
        <v>71449750</v>
      </c>
      <c r="H96" s="146"/>
    </row>
    <row r="97" spans="1:10" s="337" customFormat="1" ht="25.5" customHeight="1">
      <c r="A97" s="335"/>
      <c r="B97" s="336" t="s">
        <v>104</v>
      </c>
      <c r="C97" s="44">
        <v>15000000</v>
      </c>
      <c r="D97" s="46">
        <v>15000000</v>
      </c>
      <c r="E97" s="44">
        <f t="shared" si="2"/>
        <v>1500000</v>
      </c>
      <c r="F97" s="44">
        <f>D97-E97</f>
        <v>13500000</v>
      </c>
      <c r="G97" s="44">
        <v>17420000</v>
      </c>
      <c r="H97" s="323"/>
    </row>
    <row r="98" spans="1:10" s="337" customFormat="1" ht="24" customHeight="1">
      <c r="A98" s="335"/>
      <c r="B98" s="336" t="s">
        <v>105</v>
      </c>
      <c r="C98" s="44">
        <v>15000000</v>
      </c>
      <c r="D98" s="46">
        <v>15000000</v>
      </c>
      <c r="E98" s="44">
        <f t="shared" si="2"/>
        <v>1500000</v>
      </c>
      <c r="F98" s="44">
        <f>D98-E98</f>
        <v>13500000</v>
      </c>
      <c r="G98" s="44">
        <v>14055150</v>
      </c>
      <c r="H98" s="323"/>
    </row>
    <row r="99" spans="1:10" s="337" customFormat="1" ht="24" customHeight="1">
      <c r="A99" s="335"/>
      <c r="B99" s="336" t="s">
        <v>106</v>
      </c>
      <c r="C99" s="44">
        <v>15000000</v>
      </c>
      <c r="D99" s="46">
        <v>15000000</v>
      </c>
      <c r="E99" s="44">
        <f t="shared" si="2"/>
        <v>1500000</v>
      </c>
      <c r="F99" s="44">
        <f>D99-E99</f>
        <v>13500000</v>
      </c>
      <c r="G99" s="44">
        <v>14099600</v>
      </c>
      <c r="H99" s="323"/>
    </row>
    <row r="100" spans="1:10" s="337" customFormat="1" ht="24" customHeight="1">
      <c r="A100" s="335"/>
      <c r="B100" s="336" t="s">
        <v>107</v>
      </c>
      <c r="C100" s="44">
        <v>15000000</v>
      </c>
      <c r="D100" s="46">
        <v>15000000</v>
      </c>
      <c r="E100" s="44">
        <f t="shared" si="2"/>
        <v>1500000</v>
      </c>
      <c r="F100" s="44">
        <f>D100-E100</f>
        <v>13500000</v>
      </c>
      <c r="G100" s="44">
        <f>12335000</f>
        <v>12335000</v>
      </c>
      <c r="H100" s="323"/>
    </row>
    <row r="101" spans="1:10" s="337" customFormat="1" ht="24" customHeight="1">
      <c r="A101" s="335"/>
      <c r="B101" s="336" t="s">
        <v>108</v>
      </c>
      <c r="C101" s="44">
        <v>15000000</v>
      </c>
      <c r="D101" s="46">
        <v>15000000</v>
      </c>
      <c r="E101" s="44">
        <f t="shared" si="2"/>
        <v>1500000</v>
      </c>
      <c r="F101" s="44">
        <f>D101-E101</f>
        <v>13500000</v>
      </c>
      <c r="G101" s="44">
        <v>13540000</v>
      </c>
      <c r="H101" s="323"/>
    </row>
    <row r="102" spans="1:10" s="294" customFormat="1" ht="36" customHeight="1">
      <c r="A102" s="318" t="s">
        <v>304</v>
      </c>
      <c r="B102" s="319" t="s">
        <v>310</v>
      </c>
      <c r="C102" s="58">
        <f>30*2000000+86400000+600000</f>
        <v>147000000</v>
      </c>
      <c r="D102" s="58">
        <f>C102</f>
        <v>147000000</v>
      </c>
      <c r="E102" s="58"/>
      <c r="F102" s="58">
        <f>D102</f>
        <v>147000000</v>
      </c>
      <c r="G102" s="58">
        <f>30*2000000+86400000</f>
        <v>146400000</v>
      </c>
      <c r="H102" s="323"/>
    </row>
    <row r="103" spans="1:10" s="330" customFormat="1" ht="24.75" customHeight="1">
      <c r="A103" s="328" t="s">
        <v>305</v>
      </c>
      <c r="B103" s="329" t="s">
        <v>387</v>
      </c>
      <c r="C103" s="58">
        <v>18000000</v>
      </c>
      <c r="D103" s="6">
        <v>18000000</v>
      </c>
      <c r="E103" s="58">
        <f t="shared" si="2"/>
        <v>1800000</v>
      </c>
      <c r="F103" s="58">
        <f>D103-E103</f>
        <v>16200000</v>
      </c>
      <c r="G103" s="58">
        <v>16200000</v>
      </c>
      <c r="H103" s="323"/>
    </row>
    <row r="104" spans="1:10" s="294" customFormat="1" ht="22.5" customHeight="1">
      <c r="A104" s="318" t="s">
        <v>306</v>
      </c>
      <c r="B104" s="319" t="s">
        <v>111</v>
      </c>
      <c r="C104" s="58">
        <v>5000000</v>
      </c>
      <c r="D104" s="58">
        <v>5000000</v>
      </c>
      <c r="E104" s="58">
        <f t="shared" si="2"/>
        <v>500000</v>
      </c>
      <c r="F104" s="58">
        <f t="shared" ref="F104:F121" si="3">D104-E104</f>
        <v>4500000</v>
      </c>
      <c r="G104" s="58">
        <v>4500000</v>
      </c>
      <c r="H104" s="323"/>
    </row>
    <row r="105" spans="1:10" s="294" customFormat="1" ht="22.5" customHeight="1">
      <c r="A105" s="318" t="s">
        <v>307</v>
      </c>
      <c r="B105" s="319" t="s">
        <v>260</v>
      </c>
      <c r="C105" s="58">
        <v>3000000</v>
      </c>
      <c r="D105" s="58">
        <v>3000000</v>
      </c>
      <c r="E105" s="58">
        <f t="shared" si="2"/>
        <v>300000</v>
      </c>
      <c r="F105" s="58">
        <f t="shared" si="3"/>
        <v>2700000</v>
      </c>
      <c r="G105" s="58">
        <v>2700000</v>
      </c>
      <c r="H105" s="323"/>
    </row>
    <row r="106" spans="1:10" s="294" customFormat="1" ht="22.5" customHeight="1">
      <c r="A106" s="318" t="s">
        <v>308</v>
      </c>
      <c r="B106" s="319" t="s">
        <v>261</v>
      </c>
      <c r="C106" s="58">
        <v>5000000</v>
      </c>
      <c r="D106" s="58">
        <v>5000000</v>
      </c>
      <c r="E106" s="58">
        <f t="shared" si="2"/>
        <v>500000</v>
      </c>
      <c r="F106" s="58">
        <f t="shared" si="3"/>
        <v>4500000</v>
      </c>
      <c r="G106" s="58">
        <v>4500000</v>
      </c>
      <c r="H106" s="323"/>
    </row>
    <row r="107" spans="1:10" s="294" customFormat="1" ht="26.25" customHeight="1">
      <c r="A107" s="318" t="s">
        <v>309</v>
      </c>
      <c r="B107" s="322" t="s">
        <v>400</v>
      </c>
      <c r="C107" s="58"/>
      <c r="D107" s="58">
        <v>20000000</v>
      </c>
      <c r="E107" s="58">
        <v>0</v>
      </c>
      <c r="F107" s="58">
        <f>SUM(F108:F109)</f>
        <v>20000000</v>
      </c>
      <c r="G107" s="58">
        <v>20000000</v>
      </c>
      <c r="H107" s="338"/>
    </row>
    <row r="108" spans="1:10" s="304" customFormat="1" ht="26.25" customHeight="1">
      <c r="A108" s="306"/>
      <c r="B108" s="302" t="s">
        <v>403</v>
      </c>
      <c r="C108" s="44"/>
      <c r="D108" s="44">
        <v>20000000</v>
      </c>
      <c r="E108" s="44">
        <f>D108*10%</f>
        <v>2000000</v>
      </c>
      <c r="F108" s="44">
        <f t="shared" si="3"/>
        <v>18000000</v>
      </c>
      <c r="G108" s="44"/>
      <c r="H108" s="339"/>
    </row>
    <row r="109" spans="1:10" s="304" customFormat="1" ht="26.25" customHeight="1">
      <c r="A109" s="306"/>
      <c r="B109" s="302" t="s">
        <v>425</v>
      </c>
      <c r="C109" s="44"/>
      <c r="D109" s="44"/>
      <c r="E109" s="44">
        <v>-2000000</v>
      </c>
      <c r="F109" s="44">
        <f t="shared" si="3"/>
        <v>2000000</v>
      </c>
      <c r="G109" s="44"/>
      <c r="H109" s="339"/>
    </row>
    <row r="110" spans="1:10" s="294" customFormat="1" ht="26.25" customHeight="1">
      <c r="A110" s="318" t="s">
        <v>334</v>
      </c>
      <c r="B110" s="322" t="s">
        <v>391</v>
      </c>
      <c r="C110" s="58"/>
      <c r="D110" s="58">
        <v>15000000</v>
      </c>
      <c r="E110" s="58">
        <f>D110*10%</f>
        <v>1500000</v>
      </c>
      <c r="F110" s="58">
        <f t="shared" si="3"/>
        <v>13500000</v>
      </c>
      <c r="G110" s="58">
        <v>14737540</v>
      </c>
      <c r="H110" s="338"/>
    </row>
    <row r="111" spans="1:10" s="294" customFormat="1" ht="26.25" customHeight="1">
      <c r="A111" s="318" t="s">
        <v>344</v>
      </c>
      <c r="B111" s="322" t="s">
        <v>392</v>
      </c>
      <c r="C111" s="58"/>
      <c r="D111" s="58">
        <v>10000000</v>
      </c>
      <c r="E111" s="58">
        <f>D111*10%</f>
        <v>1000000</v>
      </c>
      <c r="F111" s="58">
        <f t="shared" si="3"/>
        <v>9000000</v>
      </c>
      <c r="G111" s="58">
        <v>9000000</v>
      </c>
      <c r="H111" s="338"/>
    </row>
    <row r="112" spans="1:10" s="294" customFormat="1" ht="26.25" customHeight="1">
      <c r="A112" s="318" t="s">
        <v>346</v>
      </c>
      <c r="B112" s="322" t="s">
        <v>393</v>
      </c>
      <c r="C112" s="58"/>
      <c r="D112" s="58">
        <v>20000000</v>
      </c>
      <c r="E112" s="58">
        <f>D112*10%</f>
        <v>2000000</v>
      </c>
      <c r="F112" s="58">
        <f t="shared" si="3"/>
        <v>18000000</v>
      </c>
      <c r="G112" s="58">
        <v>18000000</v>
      </c>
      <c r="H112" s="338"/>
      <c r="I112" s="266"/>
      <c r="J112" s="340"/>
    </row>
    <row r="113" spans="1:9" s="294" customFormat="1" ht="26.25" customHeight="1">
      <c r="A113" s="318" t="s">
        <v>347</v>
      </c>
      <c r="B113" s="322" t="s">
        <v>394</v>
      </c>
      <c r="C113" s="58"/>
      <c r="D113" s="58">
        <v>15000000</v>
      </c>
      <c r="E113" s="58">
        <f t="shared" ref="E113:E120" si="4">D113*10%</f>
        <v>1500000</v>
      </c>
      <c r="F113" s="58">
        <f t="shared" si="3"/>
        <v>13500000</v>
      </c>
      <c r="G113" s="58">
        <v>13500000</v>
      </c>
      <c r="H113" s="338"/>
    </row>
    <row r="114" spans="1:9" s="294" customFormat="1" ht="29.25" customHeight="1">
      <c r="A114" s="318" t="s">
        <v>348</v>
      </c>
      <c r="B114" s="322" t="s">
        <v>395</v>
      </c>
      <c r="C114" s="58"/>
      <c r="D114" s="58">
        <v>15000000</v>
      </c>
      <c r="E114" s="58">
        <f t="shared" si="4"/>
        <v>1500000</v>
      </c>
      <c r="F114" s="58">
        <f>D114-E114</f>
        <v>13500000</v>
      </c>
      <c r="G114" s="58">
        <v>13500000</v>
      </c>
      <c r="H114" s="338"/>
    </row>
    <row r="115" spans="1:9" s="294" customFormat="1" ht="29.25" customHeight="1">
      <c r="A115" s="318" t="s">
        <v>353</v>
      </c>
      <c r="B115" s="322" t="s">
        <v>396</v>
      </c>
      <c r="C115" s="58"/>
      <c r="D115" s="58">
        <v>30000000</v>
      </c>
      <c r="E115" s="58">
        <f t="shared" si="4"/>
        <v>3000000</v>
      </c>
      <c r="F115" s="58">
        <f t="shared" si="3"/>
        <v>27000000</v>
      </c>
      <c r="G115" s="58">
        <v>27000000</v>
      </c>
      <c r="H115" s="338"/>
    </row>
    <row r="116" spans="1:9" s="294" customFormat="1" ht="29.25" customHeight="1">
      <c r="A116" s="318" t="s">
        <v>383</v>
      </c>
      <c r="B116" s="322" t="s">
        <v>401</v>
      </c>
      <c r="C116" s="58"/>
      <c r="D116" s="58">
        <v>15000000</v>
      </c>
      <c r="E116" s="58">
        <f t="shared" si="4"/>
        <v>1500000</v>
      </c>
      <c r="F116" s="58">
        <f t="shared" si="3"/>
        <v>13500000</v>
      </c>
      <c r="G116" s="58">
        <v>13500000</v>
      </c>
      <c r="H116" s="338"/>
    </row>
    <row r="117" spans="1:9" s="294" customFormat="1" ht="29.25" customHeight="1">
      <c r="A117" s="318" t="s">
        <v>384</v>
      </c>
      <c r="B117" s="341" t="s">
        <v>397</v>
      </c>
      <c r="C117" s="59"/>
      <c r="D117" s="59">
        <v>10000000</v>
      </c>
      <c r="E117" s="59">
        <f t="shared" si="4"/>
        <v>1000000</v>
      </c>
      <c r="F117" s="58">
        <f t="shared" si="3"/>
        <v>9000000</v>
      </c>
      <c r="G117" s="59">
        <f>4430000+3375000</f>
        <v>7805000</v>
      </c>
      <c r="H117" s="342"/>
    </row>
    <row r="118" spans="1:9" s="294" customFormat="1" ht="29.25" customHeight="1">
      <c r="A118" s="318" t="s">
        <v>385</v>
      </c>
      <c r="B118" s="341" t="s">
        <v>398</v>
      </c>
      <c r="C118" s="59"/>
      <c r="D118" s="59">
        <v>16000000</v>
      </c>
      <c r="E118" s="59">
        <f t="shared" si="4"/>
        <v>1600000</v>
      </c>
      <c r="F118" s="58">
        <f t="shared" si="3"/>
        <v>14400000</v>
      </c>
      <c r="G118" s="59">
        <f>5200000+3200000+4600000</f>
        <v>13000000</v>
      </c>
      <c r="H118" s="342"/>
    </row>
    <row r="119" spans="1:9" s="294" customFormat="1" ht="29.25" customHeight="1">
      <c r="A119" s="318" t="s">
        <v>386</v>
      </c>
      <c r="B119" s="322" t="s">
        <v>399</v>
      </c>
      <c r="C119" s="58"/>
      <c r="D119" s="58">
        <v>3000000</v>
      </c>
      <c r="E119" s="58">
        <f t="shared" si="4"/>
        <v>300000</v>
      </c>
      <c r="F119" s="58">
        <f t="shared" si="3"/>
        <v>2700000</v>
      </c>
      <c r="G119" s="58">
        <v>2700000</v>
      </c>
      <c r="H119" s="338"/>
    </row>
    <row r="120" spans="1:9" s="294" customFormat="1" ht="33.75" customHeight="1">
      <c r="A120" s="318" t="s">
        <v>389</v>
      </c>
      <c r="B120" s="322" t="s">
        <v>402</v>
      </c>
      <c r="C120" s="58"/>
      <c r="D120" s="58">
        <v>5000000</v>
      </c>
      <c r="E120" s="58">
        <f t="shared" si="4"/>
        <v>500000</v>
      </c>
      <c r="F120" s="58">
        <f t="shared" si="3"/>
        <v>4500000</v>
      </c>
      <c r="G120" s="58">
        <v>4500000</v>
      </c>
      <c r="H120" s="338"/>
      <c r="I120" s="293"/>
    </row>
    <row r="121" spans="1:9" s="294" customFormat="1" ht="22.5" customHeight="1">
      <c r="A121" s="343" t="s">
        <v>390</v>
      </c>
      <c r="B121" s="344" t="s">
        <v>32</v>
      </c>
      <c r="C121" s="241">
        <v>22000000</v>
      </c>
      <c r="D121" s="241">
        <v>22000000</v>
      </c>
      <c r="E121" s="241">
        <f>D121*10%</f>
        <v>2200000</v>
      </c>
      <c r="F121" s="58">
        <f t="shared" si="3"/>
        <v>19800000</v>
      </c>
      <c r="G121" s="59">
        <v>19800000</v>
      </c>
      <c r="H121" s="345"/>
    </row>
    <row r="122" spans="1:9" s="330" customFormat="1" ht="19.5" customHeight="1">
      <c r="A122" s="292" t="s">
        <v>4</v>
      </c>
      <c r="B122" s="346" t="s">
        <v>52</v>
      </c>
      <c r="C122" s="75">
        <v>136000000</v>
      </c>
      <c r="D122" s="75">
        <v>136000000</v>
      </c>
      <c r="E122" s="75"/>
      <c r="F122" s="75">
        <f>D122</f>
        <v>136000000</v>
      </c>
      <c r="G122" s="75">
        <f>SUM(G123:G128)</f>
        <v>61120000</v>
      </c>
      <c r="H122" s="347">
        <f>G122/F122*100</f>
        <v>44.941176470588232</v>
      </c>
      <c r="I122" s="332"/>
    </row>
    <row r="123" spans="1:9" s="294" customFormat="1" ht="19.5" customHeight="1">
      <c r="A123" s="312">
        <v>1</v>
      </c>
      <c r="B123" s="300" t="s">
        <v>455</v>
      </c>
      <c r="C123" s="101"/>
      <c r="D123" s="101"/>
      <c r="E123" s="101"/>
      <c r="F123" s="101"/>
      <c r="G123" s="348">
        <v>10000000</v>
      </c>
      <c r="H123" s="349"/>
    </row>
    <row r="124" spans="1:9" s="294" customFormat="1" ht="19.5" customHeight="1">
      <c r="A124" s="312">
        <v>2</v>
      </c>
      <c r="B124" s="300" t="s">
        <v>456</v>
      </c>
      <c r="C124" s="101"/>
      <c r="D124" s="101"/>
      <c r="E124" s="101"/>
      <c r="F124" s="101"/>
      <c r="G124" s="348">
        <v>3600000</v>
      </c>
      <c r="H124" s="349"/>
    </row>
    <row r="125" spans="1:9" s="294" customFormat="1" ht="19.5" customHeight="1">
      <c r="A125" s="312">
        <v>3</v>
      </c>
      <c r="B125" s="300" t="s">
        <v>457</v>
      </c>
      <c r="C125" s="101"/>
      <c r="D125" s="101"/>
      <c r="E125" s="101"/>
      <c r="F125" s="101"/>
      <c r="G125" s="348">
        <v>3000000</v>
      </c>
      <c r="H125" s="349"/>
    </row>
    <row r="126" spans="1:9" s="294" customFormat="1" ht="19.5" customHeight="1">
      <c r="A126" s="312">
        <v>4</v>
      </c>
      <c r="B126" s="300" t="s">
        <v>458</v>
      </c>
      <c r="C126" s="101"/>
      <c r="D126" s="101"/>
      <c r="E126" s="101"/>
      <c r="F126" s="101"/>
      <c r="G126" s="348">
        <v>19520000</v>
      </c>
      <c r="H126" s="349"/>
    </row>
    <row r="127" spans="1:9" s="294" customFormat="1" ht="19.5" customHeight="1">
      <c r="A127" s="312">
        <v>5</v>
      </c>
      <c r="B127" s="300" t="s">
        <v>459</v>
      </c>
      <c r="C127" s="101"/>
      <c r="D127" s="101"/>
      <c r="E127" s="101"/>
      <c r="F127" s="101"/>
      <c r="G127" s="348">
        <v>10000000</v>
      </c>
      <c r="H127" s="349"/>
    </row>
    <row r="128" spans="1:9" s="294" customFormat="1" ht="19.5" customHeight="1">
      <c r="A128" s="312">
        <v>6</v>
      </c>
      <c r="B128" s="300" t="s">
        <v>460</v>
      </c>
      <c r="C128" s="101"/>
      <c r="D128" s="101"/>
      <c r="E128" s="101"/>
      <c r="F128" s="101"/>
      <c r="G128" s="348">
        <v>15000000</v>
      </c>
      <c r="H128" s="349"/>
    </row>
    <row r="129" spans="1:9" s="330" customFormat="1" ht="19.5" customHeight="1">
      <c r="A129" s="350" t="s">
        <v>27</v>
      </c>
      <c r="B129" s="346" t="s">
        <v>432</v>
      </c>
      <c r="C129" s="75"/>
      <c r="D129" s="75"/>
      <c r="E129" s="75"/>
      <c r="F129" s="75"/>
      <c r="G129" s="75">
        <f>SUM(G130:G143)</f>
        <v>826796000</v>
      </c>
      <c r="H129" s="347"/>
    </row>
    <row r="130" spans="1:9" s="294" customFormat="1" ht="31.5">
      <c r="A130" s="351">
        <v>1</v>
      </c>
      <c r="B130" s="352" t="s">
        <v>433</v>
      </c>
      <c r="C130" s="54"/>
      <c r="D130" s="54"/>
      <c r="E130" s="54"/>
      <c r="F130" s="54"/>
      <c r="G130" s="353">
        <v>13500000</v>
      </c>
      <c r="H130" s="354"/>
    </row>
    <row r="131" spans="1:9" s="294" customFormat="1" ht="15.75">
      <c r="A131" s="318">
        <v>2</v>
      </c>
      <c r="B131" s="355" t="s">
        <v>434</v>
      </c>
      <c r="C131" s="58"/>
      <c r="D131" s="58"/>
      <c r="E131" s="58"/>
      <c r="F131" s="58"/>
      <c r="G131" s="356">
        <f>20000000-750000</f>
        <v>19250000</v>
      </c>
      <c r="H131" s="323"/>
      <c r="I131" s="293"/>
    </row>
    <row r="132" spans="1:9" s="294" customFormat="1" ht="31.5">
      <c r="A132" s="318">
        <v>3</v>
      </c>
      <c r="B132" s="355" t="s">
        <v>435</v>
      </c>
      <c r="C132" s="58"/>
      <c r="D132" s="58"/>
      <c r="E132" s="58"/>
      <c r="F132" s="58"/>
      <c r="G132" s="356">
        <v>80000000</v>
      </c>
      <c r="H132" s="323"/>
    </row>
    <row r="133" spans="1:9" s="294" customFormat="1" ht="15.75">
      <c r="A133" s="318">
        <v>4</v>
      </c>
      <c r="B133" s="355" t="s">
        <v>436</v>
      </c>
      <c r="C133" s="58"/>
      <c r="D133" s="58"/>
      <c r="E133" s="58"/>
      <c r="F133" s="58"/>
      <c r="G133" s="356">
        <f>164285000</f>
        <v>164285000</v>
      </c>
      <c r="H133" s="323"/>
    </row>
    <row r="134" spans="1:9" s="294" customFormat="1" ht="31.5">
      <c r="A134" s="318">
        <v>5</v>
      </c>
      <c r="B134" s="355" t="s">
        <v>437</v>
      </c>
      <c r="C134" s="58"/>
      <c r="D134" s="58"/>
      <c r="E134" s="58"/>
      <c r="F134" s="58"/>
      <c r="G134" s="356">
        <v>64500000</v>
      </c>
      <c r="H134" s="323"/>
    </row>
    <row r="135" spans="1:9" s="294" customFormat="1" ht="15.75">
      <c r="A135" s="318">
        <v>6</v>
      </c>
      <c r="B135" s="355" t="s">
        <v>438</v>
      </c>
      <c r="C135" s="58"/>
      <c r="D135" s="58"/>
      <c r="E135" s="58"/>
      <c r="F135" s="58"/>
      <c r="G135" s="356">
        <v>30000000</v>
      </c>
      <c r="H135" s="323"/>
    </row>
    <row r="136" spans="1:9" s="294" customFormat="1" ht="15.75">
      <c r="A136" s="318">
        <v>7</v>
      </c>
      <c r="B136" s="355" t="s">
        <v>439</v>
      </c>
      <c r="C136" s="58"/>
      <c r="D136" s="58"/>
      <c r="E136" s="58"/>
      <c r="F136" s="58"/>
      <c r="G136" s="356">
        <v>20000000</v>
      </c>
      <c r="H136" s="323"/>
    </row>
    <row r="137" spans="1:9" s="294" customFormat="1" ht="15.75">
      <c r="A137" s="318">
        <v>8</v>
      </c>
      <c r="B137" s="355" t="s">
        <v>440</v>
      </c>
      <c r="C137" s="58"/>
      <c r="D137" s="58"/>
      <c r="E137" s="58"/>
      <c r="F137" s="58"/>
      <c r="G137" s="356">
        <v>15000000</v>
      </c>
      <c r="H137" s="323"/>
    </row>
    <row r="138" spans="1:9" s="294" customFormat="1" ht="31.5">
      <c r="A138" s="318">
        <v>9</v>
      </c>
      <c r="B138" s="355" t="s">
        <v>441</v>
      </c>
      <c r="C138" s="58"/>
      <c r="D138" s="58"/>
      <c r="E138" s="58"/>
      <c r="F138" s="58"/>
      <c r="G138" s="356">
        <v>100000000</v>
      </c>
      <c r="H138" s="323"/>
    </row>
    <row r="139" spans="1:9" s="294" customFormat="1" ht="15.75">
      <c r="A139" s="318">
        <v>10</v>
      </c>
      <c r="B139" s="355" t="s">
        <v>444</v>
      </c>
      <c r="C139" s="58"/>
      <c r="D139" s="58"/>
      <c r="E139" s="58"/>
      <c r="F139" s="58"/>
      <c r="G139" s="356">
        <v>121239000</v>
      </c>
      <c r="H139" s="323"/>
    </row>
    <row r="140" spans="1:9" s="294" customFormat="1" ht="31.5">
      <c r="A140" s="318">
        <v>11</v>
      </c>
      <c r="B140" s="355" t="s">
        <v>437</v>
      </c>
      <c r="C140" s="58"/>
      <c r="D140" s="58"/>
      <c r="E140" s="58"/>
      <c r="F140" s="58"/>
      <c r="G140" s="356">
        <v>131280000</v>
      </c>
      <c r="H140" s="323"/>
    </row>
    <row r="141" spans="1:9" s="294" customFormat="1" ht="31.5">
      <c r="A141" s="318">
        <v>12</v>
      </c>
      <c r="B141" s="355" t="s">
        <v>442</v>
      </c>
      <c r="C141" s="58"/>
      <c r="D141" s="58"/>
      <c r="E141" s="58"/>
      <c r="F141" s="58"/>
      <c r="G141" s="356">
        <v>20787000</v>
      </c>
      <c r="H141" s="323"/>
    </row>
    <row r="142" spans="1:9" s="294" customFormat="1" ht="15.75">
      <c r="A142" s="318">
        <v>13</v>
      </c>
      <c r="B142" s="355" t="s">
        <v>443</v>
      </c>
      <c r="C142" s="58"/>
      <c r="D142" s="58"/>
      <c r="E142" s="58"/>
      <c r="F142" s="58"/>
      <c r="G142" s="356">
        <v>42940000</v>
      </c>
      <c r="H142" s="323"/>
    </row>
    <row r="143" spans="1:9" s="294" customFormat="1" ht="31.5">
      <c r="A143" s="343">
        <v>14</v>
      </c>
      <c r="B143" s="357" t="s">
        <v>450</v>
      </c>
      <c r="C143" s="241"/>
      <c r="D143" s="241"/>
      <c r="E143" s="241"/>
      <c r="F143" s="241"/>
      <c r="G143" s="358">
        <v>4015000</v>
      </c>
      <c r="H143" s="345"/>
    </row>
    <row r="144" spans="1:9" s="330" customFormat="1" ht="19.5" customHeight="1">
      <c r="A144" s="350" t="s">
        <v>31</v>
      </c>
      <c r="B144" s="346" t="s">
        <v>427</v>
      </c>
      <c r="C144" s="75"/>
      <c r="D144" s="75"/>
      <c r="E144" s="75"/>
      <c r="F144" s="75">
        <f>'thu 2022'!E43-4019361000</f>
        <v>7826322689</v>
      </c>
      <c r="G144" s="75">
        <f>316201870+30000000+1538074</f>
        <v>347739944</v>
      </c>
      <c r="H144" s="347"/>
      <c r="I144" s="332"/>
    </row>
    <row r="145" spans="1:9" s="330" customFormat="1" ht="19.5" customHeight="1">
      <c r="A145" s="350" t="s">
        <v>33</v>
      </c>
      <c r="B145" s="346" t="s">
        <v>454</v>
      </c>
      <c r="C145" s="75"/>
      <c r="D145" s="75"/>
      <c r="E145" s="75"/>
      <c r="F145" s="75"/>
      <c r="G145" s="75">
        <v>559746000</v>
      </c>
      <c r="H145" s="347"/>
      <c r="I145" s="332"/>
    </row>
    <row r="146" spans="1:9" s="330" customFormat="1" ht="19.5" customHeight="1">
      <c r="A146" s="350" t="s">
        <v>176</v>
      </c>
      <c r="B146" s="346" t="s">
        <v>423</v>
      </c>
      <c r="C146" s="75"/>
      <c r="D146" s="75"/>
      <c r="E146" s="75"/>
      <c r="F146" s="75">
        <v>105000000</v>
      </c>
      <c r="G146" s="75"/>
      <c r="H146" s="347"/>
    </row>
    <row r="147" spans="1:9" s="360" customFormat="1" ht="19.5" customHeight="1">
      <c r="A147" s="350" t="s">
        <v>5</v>
      </c>
      <c r="B147" s="298" t="s">
        <v>382</v>
      </c>
      <c r="C147" s="76"/>
      <c r="D147" s="76">
        <v>99000000</v>
      </c>
      <c r="E147" s="76"/>
      <c r="F147" s="76">
        <f>'Chi 2022'!D147</f>
        <v>99000000</v>
      </c>
      <c r="G147" s="39">
        <f>9271240082</f>
        <v>9271240082</v>
      </c>
      <c r="H147" s="359"/>
      <c r="I147" s="364"/>
    </row>
    <row r="148" spans="1:9" s="362" customFormat="1" ht="21.75" customHeight="1">
      <c r="A148" s="351">
        <v>1</v>
      </c>
      <c r="B148" s="365" t="s">
        <v>461</v>
      </c>
      <c r="C148" s="366"/>
      <c r="D148" s="366"/>
      <c r="E148" s="366"/>
      <c r="F148" s="366"/>
      <c r="G148" s="367">
        <f>638247858-115225929-3960000</f>
        <v>519061929</v>
      </c>
      <c r="H148" s="368"/>
      <c r="I148" s="361"/>
    </row>
    <row r="149" spans="1:9" s="362" customFormat="1" ht="21.75" customHeight="1">
      <c r="A149" s="318">
        <v>2</v>
      </c>
      <c r="B149" s="73" t="s">
        <v>462</v>
      </c>
      <c r="C149" s="369"/>
      <c r="D149" s="369"/>
      <c r="E149" s="369"/>
      <c r="F149" s="369"/>
      <c r="G149" s="370">
        <v>273534796</v>
      </c>
      <c r="H149" s="371"/>
    </row>
    <row r="150" spans="1:9" s="362" customFormat="1" ht="21.75" customHeight="1">
      <c r="A150" s="318">
        <v>3</v>
      </c>
      <c r="B150" s="73" t="s">
        <v>463</v>
      </c>
      <c r="C150" s="369"/>
      <c r="D150" s="369"/>
      <c r="E150" s="369"/>
      <c r="F150" s="369"/>
      <c r="G150" s="370">
        <f>7845804284</f>
        <v>7845804284</v>
      </c>
      <c r="H150" s="371"/>
    </row>
    <row r="151" spans="1:9" s="362" customFormat="1" ht="21.75" customHeight="1">
      <c r="A151" s="318">
        <v>4</v>
      </c>
      <c r="B151" s="73" t="s">
        <v>464</v>
      </c>
      <c r="C151" s="369"/>
      <c r="D151" s="369"/>
      <c r="E151" s="369"/>
      <c r="F151" s="369"/>
      <c r="G151" s="370">
        <v>74880000</v>
      </c>
      <c r="H151" s="371"/>
    </row>
    <row r="152" spans="1:9" s="362" customFormat="1" ht="21.75" customHeight="1">
      <c r="A152" s="318">
        <v>5</v>
      </c>
      <c r="B152" s="73" t="s">
        <v>465</v>
      </c>
      <c r="C152" s="369"/>
      <c r="D152" s="369"/>
      <c r="E152" s="369"/>
      <c r="F152" s="369"/>
      <c r="G152" s="370">
        <v>105000000</v>
      </c>
      <c r="H152" s="371"/>
    </row>
    <row r="153" spans="1:9" s="362" customFormat="1" ht="21.75" customHeight="1">
      <c r="A153" s="318">
        <v>6</v>
      </c>
      <c r="B153" s="73" t="s">
        <v>466</v>
      </c>
      <c r="C153" s="372"/>
      <c r="D153" s="372"/>
      <c r="E153" s="372"/>
      <c r="F153" s="372"/>
      <c r="G153" s="370">
        <v>309439000</v>
      </c>
      <c r="H153" s="371"/>
    </row>
    <row r="154" spans="1:9" ht="21.75" customHeight="1">
      <c r="A154" s="318">
        <v>7</v>
      </c>
      <c r="B154" s="373" t="s">
        <v>467</v>
      </c>
      <c r="C154" s="374"/>
      <c r="D154" s="374"/>
      <c r="E154" s="374"/>
      <c r="F154" s="374"/>
      <c r="G154" s="375">
        <v>143520073</v>
      </c>
      <c r="H154" s="376"/>
    </row>
  </sheetData>
  <mergeCells count="5">
    <mergeCell ref="C1:H1"/>
    <mergeCell ref="A2:H2"/>
    <mergeCell ref="C4:H4"/>
    <mergeCell ref="A6:B6"/>
    <mergeCell ref="A3:H3"/>
  </mergeCells>
  <pageMargins left="0.2" right="0" top="0.5" bottom="0.5" header="0.2" footer="0.2"/>
  <pageSetup paperSize="9" orientation="landscape" r:id="rId1"/>
  <headerFooter>
    <oddHeader>&amp;C&amp;P</oddHeader>
  </headerFooter>
</worksheet>
</file>

<file path=xl/worksheets/sheet8.xml><?xml version="1.0" encoding="utf-8"?>
<worksheet xmlns="http://schemas.openxmlformats.org/spreadsheetml/2006/main" xmlns:r="http://schemas.openxmlformats.org/officeDocument/2006/relationships">
  <dimension ref="D1"/>
  <sheetViews>
    <sheetView workbookViewId="0">
      <selection sqref="A1:XFD1048576"/>
    </sheetView>
  </sheetViews>
  <sheetFormatPr defaultRowHeight="12.75"/>
  <cols>
    <col min="3" max="3" width="23" customWidth="1"/>
    <col min="4" max="4" width="17.140625" style="384" customWidth="1"/>
  </cols>
  <sheetData/>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sheetPr codeName="Sheet8">
    <tabColor rgb="FFFFFF00"/>
  </sheetPr>
  <dimension ref="A1:I120"/>
  <sheetViews>
    <sheetView workbookViewId="0">
      <pane ySplit="5" topLeftCell="A64" activePane="bottomLeft" state="frozen"/>
      <selection pane="bottomLeft" activeCell="E78" sqref="E66:E78"/>
    </sheetView>
  </sheetViews>
  <sheetFormatPr defaultRowHeight="15"/>
  <cols>
    <col min="1" max="1" width="7.7109375" style="35" customWidth="1"/>
    <col min="2" max="2" width="56.28515625" style="35" customWidth="1"/>
    <col min="3" max="3" width="15.42578125" style="77" customWidth="1"/>
    <col min="4" max="4" width="16.42578125" style="77" customWidth="1"/>
    <col min="5" max="5" width="14.28515625" style="77" customWidth="1"/>
    <col min="6" max="6" width="16.5703125" style="77" customWidth="1"/>
    <col min="7" max="7" width="13" style="129" customWidth="1"/>
    <col min="8" max="8" width="28" style="35" customWidth="1"/>
    <col min="9" max="9" width="15.42578125" style="35" customWidth="1"/>
    <col min="10" max="16384" width="9.140625" style="35"/>
  </cols>
  <sheetData>
    <row r="1" spans="1:9" ht="15.75" customHeight="1">
      <c r="C1" s="389" t="s">
        <v>65</v>
      </c>
      <c r="D1" s="389"/>
      <c r="E1" s="389"/>
      <c r="F1" s="389"/>
      <c r="G1" s="389"/>
    </row>
    <row r="2" spans="1:9" ht="24" customHeight="1">
      <c r="A2" s="390" t="s">
        <v>297</v>
      </c>
      <c r="B2" s="390"/>
      <c r="C2" s="390"/>
      <c r="D2" s="390"/>
      <c r="E2" s="390"/>
      <c r="F2" s="390"/>
      <c r="G2" s="390"/>
    </row>
    <row r="3" spans="1:9" ht="9" customHeight="1">
      <c r="A3" s="391"/>
      <c r="B3" s="391"/>
      <c r="C3" s="391"/>
      <c r="D3" s="391"/>
      <c r="E3" s="161"/>
      <c r="F3" s="161"/>
      <c r="G3" s="108"/>
    </row>
    <row r="4" spans="1:9" s="36" customFormat="1" ht="19.5" customHeight="1">
      <c r="B4" s="37"/>
      <c r="C4" s="392" t="s">
        <v>71</v>
      </c>
      <c r="D4" s="392"/>
      <c r="E4" s="392"/>
      <c r="F4" s="392"/>
      <c r="G4" s="392"/>
    </row>
    <row r="5" spans="1:9" s="38" customFormat="1" ht="48" customHeight="1">
      <c r="A5" s="162" t="s">
        <v>0</v>
      </c>
      <c r="B5" s="162" t="s">
        <v>37</v>
      </c>
      <c r="C5" s="163" t="s">
        <v>13</v>
      </c>
      <c r="D5" s="163" t="s">
        <v>72</v>
      </c>
      <c r="E5" s="98" t="s">
        <v>191</v>
      </c>
      <c r="F5" s="98" t="s">
        <v>192</v>
      </c>
      <c r="G5" s="41" t="s">
        <v>253</v>
      </c>
    </row>
    <row r="6" spans="1:9" s="40" customFormat="1" ht="22.5" customHeight="1">
      <c r="A6" s="393" t="s">
        <v>265</v>
      </c>
      <c r="B6" s="394"/>
      <c r="C6" s="39">
        <f>C7+C108+C112</f>
        <v>6258000000</v>
      </c>
      <c r="D6" s="39">
        <f>D7+D108+D112</f>
        <v>15254500000</v>
      </c>
      <c r="E6" s="39">
        <f>E7+E108+E112</f>
        <v>85000000</v>
      </c>
      <c r="F6" s="39">
        <f>F7+F108+F112+F111</f>
        <v>15254500000</v>
      </c>
      <c r="G6" s="237"/>
      <c r="H6" s="178">
        <f>D6-F6</f>
        <v>0</v>
      </c>
      <c r="I6" s="177">
        <f>'thu 2022'!E6-'chi tiết chi 2021'!D6</f>
        <v>9616045689</v>
      </c>
    </row>
    <row r="7" spans="1:9" s="40" customFormat="1" ht="22.5" customHeight="1">
      <c r="A7" s="41" t="s">
        <v>1</v>
      </c>
      <c r="B7" s="42" t="s">
        <v>38</v>
      </c>
      <c r="C7" s="39">
        <f>C8+C23+C106</f>
        <v>6258000000</v>
      </c>
      <c r="D7" s="39">
        <f>D8+D23+D106</f>
        <v>15171750000</v>
      </c>
      <c r="E7" s="39">
        <f>E8+E23+E106</f>
        <v>85000000</v>
      </c>
      <c r="F7" s="39">
        <f>F8+F23+F106</f>
        <v>15086750000</v>
      </c>
      <c r="G7" s="109"/>
      <c r="H7" s="177">
        <f>85000000-E7</f>
        <v>0</v>
      </c>
    </row>
    <row r="8" spans="1:9" s="40" customFormat="1" ht="22.5" customHeight="1">
      <c r="A8" s="41" t="s">
        <v>2</v>
      </c>
      <c r="B8" s="51" t="s">
        <v>39</v>
      </c>
      <c r="C8" s="39">
        <f>SUM(C9)</f>
        <v>1820000000</v>
      </c>
      <c r="D8" s="39">
        <f>D9+D16+D18</f>
        <v>10651000000</v>
      </c>
      <c r="E8" s="39">
        <f>E9+E16+E18</f>
        <v>0</v>
      </c>
      <c r="F8" s="39">
        <f>F9+F16+F18</f>
        <v>10651000000</v>
      </c>
      <c r="G8" s="109"/>
      <c r="H8" s="178">
        <f>D8-C8</f>
        <v>8831000000</v>
      </c>
    </row>
    <row r="9" spans="1:9" s="38" customFormat="1" ht="21.75" customHeight="1">
      <c r="A9" s="100">
        <v>1</v>
      </c>
      <c r="B9" s="92" t="s">
        <v>73</v>
      </c>
      <c r="C9" s="101">
        <v>1820000000</v>
      </c>
      <c r="D9" s="101">
        <f>SUM(D10:D15)</f>
        <v>8596000000</v>
      </c>
      <c r="E9" s="101">
        <f>SUM(E10:E15)</f>
        <v>0</v>
      </c>
      <c r="F9" s="101">
        <f>SUM(F10:F15)</f>
        <v>8596000000</v>
      </c>
      <c r="G9" s="189"/>
      <c r="H9" s="184">
        <f>H8+C6+D112</f>
        <v>15171750000</v>
      </c>
    </row>
    <row r="10" spans="1:9" s="45" customFormat="1" ht="36.75" customHeight="1">
      <c r="A10" s="78" t="s">
        <v>6</v>
      </c>
      <c r="B10" s="188" t="s">
        <v>284</v>
      </c>
      <c r="C10" s="79"/>
      <c r="D10" s="79">
        <v>976000000</v>
      </c>
      <c r="E10" s="79"/>
      <c r="F10" s="79">
        <f t="shared" ref="F10:F15" si="0">D10-E10</f>
        <v>976000000</v>
      </c>
      <c r="G10" s="187"/>
      <c r="H10" s="204"/>
    </row>
    <row r="11" spans="1:9" s="45" customFormat="1" ht="37.5" customHeight="1">
      <c r="A11" s="78" t="s">
        <v>7</v>
      </c>
      <c r="B11" s="43" t="s">
        <v>285</v>
      </c>
      <c r="C11" s="44"/>
      <c r="D11" s="44">
        <v>200000000</v>
      </c>
      <c r="E11" s="44"/>
      <c r="F11" s="44">
        <f t="shared" si="0"/>
        <v>200000000</v>
      </c>
      <c r="G11" s="111"/>
    </row>
    <row r="12" spans="1:9" s="45" customFormat="1" ht="27.75" customHeight="1">
      <c r="A12" s="78" t="s">
        <v>8</v>
      </c>
      <c r="B12" s="43" t="s">
        <v>286</v>
      </c>
      <c r="C12" s="44"/>
      <c r="D12" s="44">
        <v>200000000</v>
      </c>
      <c r="E12" s="44"/>
      <c r="F12" s="44">
        <f t="shared" si="0"/>
        <v>200000000</v>
      </c>
      <c r="G12" s="111"/>
    </row>
    <row r="13" spans="1:9" s="45" customFormat="1" ht="36" customHeight="1">
      <c r="A13" s="55" t="s">
        <v>9</v>
      </c>
      <c r="B13" s="43" t="s">
        <v>287</v>
      </c>
      <c r="C13" s="44"/>
      <c r="D13" s="44">
        <v>1000000000</v>
      </c>
      <c r="E13" s="44"/>
      <c r="F13" s="44">
        <f t="shared" si="0"/>
        <v>1000000000</v>
      </c>
      <c r="G13" s="111"/>
    </row>
    <row r="14" spans="1:9" s="190" customFormat="1" ht="23.25" customHeight="1">
      <c r="A14" s="55" t="s">
        <v>119</v>
      </c>
      <c r="B14" s="43" t="s">
        <v>292</v>
      </c>
      <c r="C14" s="44"/>
      <c r="D14" s="44">
        <v>220000000</v>
      </c>
      <c r="E14" s="44"/>
      <c r="F14" s="44">
        <f t="shared" si="0"/>
        <v>220000000</v>
      </c>
      <c r="G14" s="111"/>
    </row>
    <row r="15" spans="1:9" s="190" customFormat="1" ht="54.75" customHeight="1">
      <c r="A15" s="152" t="s">
        <v>78</v>
      </c>
      <c r="B15" s="159" t="s">
        <v>288</v>
      </c>
      <c r="C15" s="102"/>
      <c r="D15" s="102">
        <v>6000000000</v>
      </c>
      <c r="E15" s="102"/>
      <c r="F15" s="102">
        <f t="shared" si="0"/>
        <v>6000000000</v>
      </c>
      <c r="G15" s="193"/>
    </row>
    <row r="16" spans="1:9" s="38" customFormat="1" ht="24.75" customHeight="1">
      <c r="A16" s="100">
        <v>2</v>
      </c>
      <c r="B16" s="92" t="s">
        <v>149</v>
      </c>
      <c r="C16" s="101"/>
      <c r="D16" s="101">
        <f>D17</f>
        <v>1500000000</v>
      </c>
      <c r="E16" s="101">
        <f>E17</f>
        <v>0</v>
      </c>
      <c r="F16" s="101">
        <f>F17</f>
        <v>1500000000</v>
      </c>
      <c r="G16" s="189"/>
    </row>
    <row r="17" spans="1:8" s="45" customFormat="1" ht="24.75" customHeight="1">
      <c r="A17" s="148" t="s">
        <v>10</v>
      </c>
      <c r="B17" s="191" t="s">
        <v>290</v>
      </c>
      <c r="C17" s="150"/>
      <c r="D17" s="150">
        <v>1500000000</v>
      </c>
      <c r="E17" s="150"/>
      <c r="F17" s="150">
        <f>D17</f>
        <v>1500000000</v>
      </c>
      <c r="G17" s="192"/>
    </row>
    <row r="18" spans="1:8" s="38" customFormat="1" ht="24.75" customHeight="1">
      <c r="A18" s="100">
        <v>3</v>
      </c>
      <c r="B18" s="92" t="s">
        <v>40</v>
      </c>
      <c r="C18" s="101"/>
      <c r="D18" s="101">
        <f>SUM(D19:D22)</f>
        <v>555000000</v>
      </c>
      <c r="E18" s="101">
        <f>SUM(E19:E22)</f>
        <v>0</v>
      </c>
      <c r="F18" s="101">
        <f>SUM(F19:F22)</f>
        <v>555000000</v>
      </c>
      <c r="G18" s="189"/>
      <c r="H18" s="184"/>
    </row>
    <row r="19" spans="1:8" s="45" customFormat="1" ht="22.5" customHeight="1">
      <c r="A19" s="148" t="s">
        <v>16</v>
      </c>
      <c r="B19" s="191" t="s">
        <v>289</v>
      </c>
      <c r="C19" s="150"/>
      <c r="D19" s="150">
        <v>80000000</v>
      </c>
      <c r="E19" s="150"/>
      <c r="F19" s="150">
        <f>D19-E19</f>
        <v>80000000</v>
      </c>
      <c r="G19" s="192"/>
    </row>
    <row r="20" spans="1:8" s="45" customFormat="1" ht="22.5" customHeight="1">
      <c r="A20" s="55" t="s">
        <v>97</v>
      </c>
      <c r="B20" s="43" t="s">
        <v>291</v>
      </c>
      <c r="C20" s="44"/>
      <c r="D20" s="44">
        <v>75000000</v>
      </c>
      <c r="E20" s="44"/>
      <c r="F20" s="44">
        <f>D20-E20</f>
        <v>75000000</v>
      </c>
      <c r="G20" s="111"/>
    </row>
    <row r="21" spans="1:8" s="45" customFormat="1" ht="22.5" customHeight="1">
      <c r="A21" s="55" t="s">
        <v>19</v>
      </c>
      <c r="B21" s="43" t="s">
        <v>293</v>
      </c>
      <c r="C21" s="44"/>
      <c r="D21" s="44">
        <v>200000000</v>
      </c>
      <c r="E21" s="44"/>
      <c r="F21" s="44">
        <f>D21-E21</f>
        <v>200000000</v>
      </c>
      <c r="G21" s="111"/>
    </row>
    <row r="22" spans="1:8" s="45" customFormat="1" ht="22.5" customHeight="1">
      <c r="A22" s="152" t="s">
        <v>295</v>
      </c>
      <c r="B22" s="43" t="s">
        <v>294</v>
      </c>
      <c r="C22" s="44"/>
      <c r="D22" s="44">
        <v>200000000</v>
      </c>
      <c r="E22" s="44"/>
      <c r="F22" s="44">
        <f>D22-E22</f>
        <v>200000000</v>
      </c>
      <c r="G22" s="111"/>
    </row>
    <row r="23" spans="1:8" s="40" customFormat="1" ht="21" customHeight="1">
      <c r="A23" s="41" t="s">
        <v>3</v>
      </c>
      <c r="B23" s="51" t="s">
        <v>40</v>
      </c>
      <c r="C23" s="39">
        <f>C24+C33+C37+C38+C42+C43+C46+C47</f>
        <v>4309000000</v>
      </c>
      <c r="D23" s="39">
        <f>D24+D33+D37+D38+D42+D43+D46+D47</f>
        <v>4391750000</v>
      </c>
      <c r="E23" s="39">
        <f>E24+E33+E37+E38+E42+E43+E46+E47</f>
        <v>85000000</v>
      </c>
      <c r="F23" s="39">
        <f>F24+F33+F37+F38+F42+F43+F46+F47</f>
        <v>4306750000</v>
      </c>
      <c r="G23" s="109"/>
      <c r="H23" s="178">
        <f>C23-D23-E23</f>
        <v>-167750000</v>
      </c>
    </row>
    <row r="24" spans="1:8" s="40" customFormat="1" ht="22.5" customHeight="1">
      <c r="A24" s="81">
        <v>1</v>
      </c>
      <c r="B24" s="82" t="s">
        <v>330</v>
      </c>
      <c r="C24" s="83">
        <v>248000000</v>
      </c>
      <c r="D24" s="83">
        <f>D25+D31</f>
        <v>248000000</v>
      </c>
      <c r="E24" s="83">
        <f>E25+E31</f>
        <v>7500000</v>
      </c>
      <c r="F24" s="83">
        <f>F25+F31</f>
        <v>240500000</v>
      </c>
      <c r="G24" s="156"/>
      <c r="H24" s="178"/>
    </row>
    <row r="25" spans="1:8" s="38" customFormat="1" ht="22.5" customHeight="1">
      <c r="A25" s="56" t="s">
        <v>6</v>
      </c>
      <c r="B25" s="57" t="s">
        <v>262</v>
      </c>
      <c r="C25" s="58"/>
      <c r="D25" s="58">
        <f>SUM(D26:D30)</f>
        <v>226000000</v>
      </c>
      <c r="E25" s="58">
        <f>E26+E27+E28+E30</f>
        <v>5300000</v>
      </c>
      <c r="F25" s="58">
        <f>SUM(F26:F30)</f>
        <v>220700000</v>
      </c>
      <c r="G25" s="113"/>
    </row>
    <row r="26" spans="1:8" s="45" customFormat="1" ht="22.5" customHeight="1">
      <c r="A26" s="55"/>
      <c r="B26" s="68" t="s">
        <v>48</v>
      </c>
      <c r="C26" s="44"/>
      <c r="D26" s="44">
        <f>4.52*1490000*12</f>
        <v>80817599.999999985</v>
      </c>
      <c r="E26" s="44"/>
      <c r="F26" s="44">
        <f>D26-E26</f>
        <v>80817599.999999985</v>
      </c>
      <c r="G26" s="116"/>
      <c r="H26" s="44">
        <v>85400000</v>
      </c>
    </row>
    <row r="27" spans="1:8" s="45" customFormat="1" ht="22.5" customHeight="1">
      <c r="A27" s="55"/>
      <c r="B27" s="68" t="s">
        <v>50</v>
      </c>
      <c r="C27" s="44"/>
      <c r="D27" s="44">
        <f>1.57*1490000*12</f>
        <v>28071600</v>
      </c>
      <c r="E27" s="44"/>
      <c r="F27" s="44">
        <f>D27-E27</f>
        <v>28071600</v>
      </c>
      <c r="G27" s="116"/>
      <c r="H27" s="44">
        <v>28100000</v>
      </c>
    </row>
    <row r="28" spans="1:8" s="45" customFormat="1" ht="22.5" customHeight="1">
      <c r="A28" s="55"/>
      <c r="B28" s="68" t="s">
        <v>49</v>
      </c>
      <c r="C28" s="44"/>
      <c r="D28" s="44">
        <f>0.3426*1490000*12</f>
        <v>6125688</v>
      </c>
      <c r="E28" s="44"/>
      <c r="F28" s="44">
        <f>D28-E28</f>
        <v>6125688</v>
      </c>
      <c r="G28" s="116"/>
      <c r="H28" s="44">
        <v>8500000</v>
      </c>
    </row>
    <row r="29" spans="1:8" s="45" customFormat="1" ht="22.5" customHeight="1">
      <c r="A29" s="55"/>
      <c r="B29" s="68" t="s">
        <v>340</v>
      </c>
      <c r="C29" s="44"/>
      <c r="D29" s="44">
        <f>173000000-D26-D27-D28</f>
        <v>57985112.000000015</v>
      </c>
      <c r="E29" s="44"/>
      <c r="F29" s="44">
        <f>D29</f>
        <v>57985112.000000015</v>
      </c>
      <c r="G29" s="116"/>
      <c r="H29" s="226"/>
    </row>
    <row r="30" spans="1:8" s="45" customFormat="1" ht="22.5" customHeight="1">
      <c r="A30" s="55"/>
      <c r="B30" s="68" t="s">
        <v>335</v>
      </c>
      <c r="C30" s="44"/>
      <c r="D30" s="44">
        <v>53000000</v>
      </c>
      <c r="E30" s="44">
        <f>D30*10%</f>
        <v>5300000</v>
      </c>
      <c r="F30" s="44">
        <f>D30-E30</f>
        <v>47700000</v>
      </c>
      <c r="G30" s="116"/>
    </row>
    <row r="31" spans="1:8" s="38" customFormat="1" ht="24.75" customHeight="1">
      <c r="A31" s="56" t="s">
        <v>7</v>
      </c>
      <c r="B31" s="57" t="s">
        <v>263</v>
      </c>
      <c r="C31" s="58"/>
      <c r="D31" s="58">
        <f>D32</f>
        <v>22000000</v>
      </c>
      <c r="E31" s="58">
        <f>E32</f>
        <v>2200000</v>
      </c>
      <c r="F31" s="58">
        <f>F32</f>
        <v>19800000</v>
      </c>
      <c r="G31" s="113"/>
    </row>
    <row r="32" spans="1:8" s="45" customFormat="1" ht="23.25" customHeight="1">
      <c r="A32" s="55"/>
      <c r="B32" s="68" t="s">
        <v>282</v>
      </c>
      <c r="C32" s="44"/>
      <c r="D32" s="44">
        <f>18000000+4000000</f>
        <v>22000000</v>
      </c>
      <c r="E32" s="44">
        <f>D32*10%</f>
        <v>2200000</v>
      </c>
      <c r="F32" s="44">
        <f>D32-E32</f>
        <v>19800000</v>
      </c>
      <c r="G32" s="116"/>
    </row>
    <row r="33" spans="1:8" s="208" customFormat="1" ht="25.5" customHeight="1">
      <c r="A33" s="179">
        <v>2</v>
      </c>
      <c r="B33" s="180" t="s">
        <v>257</v>
      </c>
      <c r="C33" s="181">
        <v>53000000</v>
      </c>
      <c r="D33" s="181">
        <f>SUM(D34:D36)</f>
        <v>53000000</v>
      </c>
      <c r="E33" s="181">
        <f>SUM(E34:E36)</f>
        <v>0</v>
      </c>
      <c r="F33" s="181">
        <f>SUM(F34:F36)</f>
        <v>53000000</v>
      </c>
      <c r="G33" s="209"/>
    </row>
    <row r="34" spans="1:8" s="230" customFormat="1" ht="25.5" customHeight="1">
      <c r="A34" s="55"/>
      <c r="B34" s="68" t="s">
        <v>75</v>
      </c>
      <c r="C34" s="44"/>
      <c r="D34" s="44">
        <v>7000000</v>
      </c>
      <c r="E34" s="44"/>
      <c r="F34" s="44">
        <f>D34-E34</f>
        <v>7000000</v>
      </c>
      <c r="G34" s="229"/>
    </row>
    <row r="35" spans="1:8" s="230" customFormat="1" ht="25.5" customHeight="1">
      <c r="A35" s="55"/>
      <c r="B35" s="68" t="s">
        <v>296</v>
      </c>
      <c r="C35" s="44"/>
      <c r="D35" s="44">
        <v>30000000</v>
      </c>
      <c r="E35" s="44"/>
      <c r="F35" s="44">
        <f>D35-E35</f>
        <v>30000000</v>
      </c>
      <c r="G35" s="229"/>
    </row>
    <row r="36" spans="1:8" s="230" customFormat="1" ht="25.5" customHeight="1">
      <c r="A36" s="55"/>
      <c r="B36" s="68" t="s">
        <v>60</v>
      </c>
      <c r="C36" s="44"/>
      <c r="D36" s="44">
        <f>53000000-D35-D34</f>
        <v>16000000</v>
      </c>
      <c r="E36" s="44"/>
      <c r="F36" s="44">
        <f>D36-E36</f>
        <v>16000000</v>
      </c>
      <c r="G36" s="229"/>
    </row>
    <row r="37" spans="1:8" s="208" customFormat="1" ht="25.5" customHeight="1">
      <c r="A37" s="179">
        <v>3</v>
      </c>
      <c r="B37" s="180" t="s">
        <v>92</v>
      </c>
      <c r="C37" s="181">
        <v>20000000</v>
      </c>
      <c r="D37" s="181">
        <v>18000000</v>
      </c>
      <c r="E37" s="181">
        <f>D37*10%</f>
        <v>1800000</v>
      </c>
      <c r="F37" s="181">
        <f>D37-E37</f>
        <v>16200000</v>
      </c>
      <c r="G37" s="209"/>
    </row>
    <row r="38" spans="1:8" s="208" customFormat="1" ht="25.5" customHeight="1">
      <c r="A38" s="179">
        <v>4</v>
      </c>
      <c r="B38" s="180" t="s">
        <v>90</v>
      </c>
      <c r="C38" s="181">
        <f>SUM(C39:C41)</f>
        <v>75000000</v>
      </c>
      <c r="D38" s="181">
        <f>SUM(D39:D41)</f>
        <v>75000000</v>
      </c>
      <c r="E38" s="181">
        <f>SUM(E39:E41)</f>
        <v>7500000</v>
      </c>
      <c r="F38" s="181">
        <f>SUM(F39:F41)</f>
        <v>67500000</v>
      </c>
      <c r="G38" s="209"/>
    </row>
    <row r="39" spans="1:8" s="230" customFormat="1" ht="25.5" customHeight="1">
      <c r="A39" s="55"/>
      <c r="B39" s="68" t="s">
        <v>42</v>
      </c>
      <c r="C39" s="44">
        <v>26000000</v>
      </c>
      <c r="D39" s="44">
        <v>15000000</v>
      </c>
      <c r="E39" s="44">
        <f>D39*10%</f>
        <v>1500000</v>
      </c>
      <c r="F39" s="44">
        <f>D39-E39</f>
        <v>13500000</v>
      </c>
      <c r="G39" s="229"/>
    </row>
    <row r="40" spans="1:8" s="230" customFormat="1" ht="40.5" customHeight="1">
      <c r="A40" s="55"/>
      <c r="B40" s="68" t="s">
        <v>94</v>
      </c>
      <c r="C40" s="44">
        <v>36000000</v>
      </c>
      <c r="D40" s="44">
        <v>36000000</v>
      </c>
      <c r="E40" s="44">
        <f>D40*10%</f>
        <v>3600000</v>
      </c>
      <c r="F40" s="44">
        <f>D40-E40</f>
        <v>32400000</v>
      </c>
      <c r="G40" s="229"/>
      <c r="H40" s="231">
        <f>27000000+2000000+3500000+1000000</f>
        <v>33500000</v>
      </c>
    </row>
    <row r="41" spans="1:8" s="234" customFormat="1" ht="25.5" customHeight="1">
      <c r="A41" s="224"/>
      <c r="B41" s="232" t="s">
        <v>336</v>
      </c>
      <c r="C41" s="225">
        <v>13000000</v>
      </c>
      <c r="D41" s="225">
        <v>24000000</v>
      </c>
      <c r="E41" s="225">
        <f>D41*10%</f>
        <v>2400000</v>
      </c>
      <c r="F41" s="225">
        <f>D41-E41</f>
        <v>21600000</v>
      </c>
      <c r="G41" s="242" t="s">
        <v>339</v>
      </c>
      <c r="H41" s="233"/>
    </row>
    <row r="42" spans="1:8" s="208" customFormat="1" ht="25.5" customHeight="1">
      <c r="A42" s="179">
        <v>5</v>
      </c>
      <c r="B42" s="180" t="s">
        <v>93</v>
      </c>
      <c r="C42" s="181">
        <v>16000000</v>
      </c>
      <c r="D42" s="181">
        <v>13000000</v>
      </c>
      <c r="E42" s="181">
        <f>D42*10%</f>
        <v>1300000</v>
      </c>
      <c r="F42" s="181">
        <f>D42-E42</f>
        <v>11700000</v>
      </c>
      <c r="G42" s="209"/>
    </row>
    <row r="43" spans="1:8" s="208" customFormat="1" ht="25.5" customHeight="1">
      <c r="A43" s="179">
        <v>6</v>
      </c>
      <c r="B43" s="180" t="s">
        <v>258</v>
      </c>
      <c r="C43" s="181">
        <v>30000000</v>
      </c>
      <c r="D43" s="181">
        <f>SUM(D44:D45)</f>
        <v>30000000</v>
      </c>
      <c r="E43" s="181">
        <f>SUM(E44:E45)</f>
        <v>3000000</v>
      </c>
      <c r="F43" s="181">
        <f>SUM(F44:F45)</f>
        <v>27000000</v>
      </c>
      <c r="G43" s="209"/>
    </row>
    <row r="44" spans="1:8" s="45" customFormat="1" ht="22.5" customHeight="1">
      <c r="A44" s="55"/>
      <c r="B44" s="68" t="s">
        <v>298</v>
      </c>
      <c r="C44" s="44"/>
      <c r="D44" s="44">
        <v>5500000</v>
      </c>
      <c r="E44" s="44">
        <f>D44*10%</f>
        <v>550000</v>
      </c>
      <c r="F44" s="44">
        <f>D44-E44</f>
        <v>4950000</v>
      </c>
      <c r="G44" s="111"/>
    </row>
    <row r="45" spans="1:8" s="45" customFormat="1" ht="22.5" customHeight="1">
      <c r="A45" s="55"/>
      <c r="B45" s="68" t="s">
        <v>60</v>
      </c>
      <c r="C45" s="44"/>
      <c r="D45" s="44">
        <f>30000000-D44</f>
        <v>24500000</v>
      </c>
      <c r="E45" s="44">
        <f>D45*10%</f>
        <v>2450000</v>
      </c>
      <c r="F45" s="44">
        <f>D45-E45</f>
        <v>22050000</v>
      </c>
      <c r="G45" s="111"/>
    </row>
    <row r="46" spans="1:8" s="208" customFormat="1" ht="25.5" customHeight="1">
      <c r="A46" s="179">
        <v>7</v>
      </c>
      <c r="B46" s="180" t="s">
        <v>96</v>
      </c>
      <c r="C46" s="181">
        <v>32000000</v>
      </c>
      <c r="D46" s="181">
        <v>30000000</v>
      </c>
      <c r="E46" s="181">
        <f>D46*10%</f>
        <v>3000000</v>
      </c>
      <c r="F46" s="181">
        <f>D46-E46</f>
        <v>27000000</v>
      </c>
      <c r="G46" s="209"/>
      <c r="H46" s="239"/>
    </row>
    <row r="47" spans="1:8" s="215" customFormat="1" ht="21" customHeight="1">
      <c r="A47" s="210">
        <v>8</v>
      </c>
      <c r="B47" s="211" t="s">
        <v>43</v>
      </c>
      <c r="C47" s="212">
        <f>C48+C63+C79+C84+C92+C93+C94+C95+C96</f>
        <v>3835000000</v>
      </c>
      <c r="D47" s="212">
        <f>D48+D63+D79+D84+D92+D93+D94+D95+D96+D103+D100+D101+D104+D105+D102</f>
        <v>3924750000</v>
      </c>
      <c r="E47" s="212">
        <f>E48+E63+E79+E84+E92+E93+E94+E95+E96+E103+E100+E101+E104+E105+E102</f>
        <v>60900000</v>
      </c>
      <c r="F47" s="212">
        <f>F48+F63+F79+F84+F92+F93+F94+F95+F96+F103+F100+F101+F104+F105+F102</f>
        <v>3863850000</v>
      </c>
      <c r="G47" s="213"/>
      <c r="H47" s="214">
        <f>D47-E47-F47</f>
        <v>0</v>
      </c>
    </row>
    <row r="48" spans="1:8" s="66" customFormat="1" ht="21" customHeight="1">
      <c r="A48" s="64" t="s">
        <v>299</v>
      </c>
      <c r="B48" s="65" t="s">
        <v>160</v>
      </c>
      <c r="C48" s="235">
        <v>3116000000</v>
      </c>
      <c r="D48" s="235">
        <f>D49+D55+D58+D62</f>
        <v>3116000000</v>
      </c>
      <c r="E48" s="235">
        <f>E49+E55+E58+E62</f>
        <v>0</v>
      </c>
      <c r="F48" s="235">
        <f>F49+F55+F58+F62</f>
        <v>3116000000</v>
      </c>
      <c r="G48" s="112"/>
      <c r="H48" s="185">
        <f>C48-D48</f>
        <v>0</v>
      </c>
    </row>
    <row r="49" spans="1:8" s="66" customFormat="1" ht="21" customHeight="1">
      <c r="A49" s="64"/>
      <c r="B49" s="67" t="s">
        <v>67</v>
      </c>
      <c r="C49" s="6"/>
      <c r="D49" s="6">
        <f>SUM(D50:D54)</f>
        <v>2130540569.9999998</v>
      </c>
      <c r="E49" s="6">
        <f>SUM(E50:E54)</f>
        <v>0</v>
      </c>
      <c r="F49" s="6">
        <f>SUM(F50:F54)</f>
        <v>2130540569.9999998</v>
      </c>
      <c r="G49" s="115"/>
    </row>
    <row r="50" spans="1:8" s="45" customFormat="1" ht="21" customHeight="1">
      <c r="A50" s="55"/>
      <c r="B50" s="68" t="s">
        <v>146</v>
      </c>
      <c r="C50" s="44"/>
      <c r="D50" s="44">
        <f>((71.1+2.25)*1490000*12)+((71.1+2.25)*1490000*12*21.5%)</f>
        <v>1593470069.9999998</v>
      </c>
      <c r="E50" s="58"/>
      <c r="F50" s="44">
        <f>D50-E50</f>
        <v>1593470069.9999998</v>
      </c>
      <c r="G50" s="116"/>
    </row>
    <row r="51" spans="1:8" s="45" customFormat="1" ht="21" customHeight="1">
      <c r="A51" s="55"/>
      <c r="B51" s="68" t="s">
        <v>44</v>
      </c>
      <c r="C51" s="44"/>
      <c r="D51" s="44">
        <f>18.3375*1490000*12</f>
        <v>327874499.99999994</v>
      </c>
      <c r="E51" s="58"/>
      <c r="F51" s="44">
        <f>D51-E51</f>
        <v>327874499.99999994</v>
      </c>
      <c r="G51" s="116"/>
    </row>
    <row r="52" spans="1:8" s="45" customFormat="1" ht="21" customHeight="1">
      <c r="A52" s="55"/>
      <c r="B52" s="68" t="s">
        <v>46</v>
      </c>
      <c r="C52" s="44"/>
      <c r="D52" s="44">
        <f>4.2*1490000*12</f>
        <v>75096000</v>
      </c>
      <c r="E52" s="58"/>
      <c r="F52" s="44">
        <f>D52-E52</f>
        <v>75096000</v>
      </c>
      <c r="G52" s="116"/>
    </row>
    <row r="53" spans="1:8" s="45" customFormat="1" ht="21" customHeight="1">
      <c r="A53" s="55"/>
      <c r="B53" s="68" t="s">
        <v>68</v>
      </c>
      <c r="C53" s="44"/>
      <c r="D53" s="44">
        <f>6.9*1490000*12</f>
        <v>123372000</v>
      </c>
      <c r="E53" s="58"/>
      <c r="F53" s="44">
        <f>D53-E53</f>
        <v>123372000</v>
      </c>
      <c r="G53" s="116"/>
    </row>
    <row r="54" spans="1:8" s="45" customFormat="1" ht="21" customHeight="1">
      <c r="A54" s="55"/>
      <c r="B54" s="68" t="s">
        <v>69</v>
      </c>
      <c r="C54" s="44"/>
      <c r="D54" s="44">
        <f>0.6*1490000*12</f>
        <v>10728000</v>
      </c>
      <c r="E54" s="58"/>
      <c r="F54" s="44">
        <f>D54-E54</f>
        <v>10728000</v>
      </c>
      <c r="G54" s="116"/>
    </row>
    <row r="55" spans="1:8" s="66" customFormat="1" ht="21" customHeight="1">
      <c r="A55" s="64"/>
      <c r="B55" s="67" t="s">
        <v>70</v>
      </c>
      <c r="C55" s="6"/>
      <c r="D55" s="6">
        <f>D56+D57</f>
        <v>886149600</v>
      </c>
      <c r="E55" s="6">
        <f>E56+E57</f>
        <v>0</v>
      </c>
      <c r="F55" s="6">
        <f>F56+F57</f>
        <v>886149600</v>
      </c>
      <c r="G55" s="115"/>
    </row>
    <row r="56" spans="1:8" s="45" customFormat="1" ht="21" customHeight="1">
      <c r="A56" s="55"/>
      <c r="B56" s="68" t="s">
        <v>327</v>
      </c>
      <c r="C56" s="44"/>
      <c r="D56" s="44">
        <f>((13.93+4.1+24.39+6)*1490000*12)</f>
        <v>865749600</v>
      </c>
      <c r="E56" s="58"/>
      <c r="F56" s="44">
        <f>D56-E56</f>
        <v>865749600</v>
      </c>
      <c r="G56" s="116"/>
    </row>
    <row r="57" spans="1:8" s="45" customFormat="1" ht="21" customHeight="1">
      <c r="A57" s="55"/>
      <c r="B57" s="68" t="s">
        <v>51</v>
      </c>
      <c r="C57" s="44"/>
      <c r="D57" s="44">
        <v>20400000</v>
      </c>
      <c r="E57" s="58"/>
      <c r="F57" s="44">
        <f>D57-E57</f>
        <v>20400000</v>
      </c>
      <c r="G57" s="116"/>
    </row>
    <row r="58" spans="1:8" s="66" customFormat="1" ht="21" customHeight="1">
      <c r="A58" s="64"/>
      <c r="B58" s="67" t="s">
        <v>166</v>
      </c>
      <c r="C58" s="6"/>
      <c r="D58" s="6">
        <f>D59+D60+D61</f>
        <v>94620960</v>
      </c>
      <c r="E58" s="6">
        <f>E59+E60+E61</f>
        <v>0</v>
      </c>
      <c r="F58" s="6">
        <f>F59+F60+F61</f>
        <v>94620960</v>
      </c>
      <c r="G58" s="115"/>
    </row>
    <row r="59" spans="1:8" s="45" customFormat="1" ht="21" customHeight="1">
      <c r="A59" s="55"/>
      <c r="B59" s="68" t="s">
        <v>167</v>
      </c>
      <c r="C59" s="44"/>
      <c r="D59" s="44">
        <f>71.1*1490000*2%*12</f>
        <v>25425359.999999993</v>
      </c>
      <c r="E59" s="58"/>
      <c r="F59" s="44">
        <f>D59-E59</f>
        <v>25425359.999999993</v>
      </c>
      <c r="G59" s="111"/>
    </row>
    <row r="60" spans="1:8" s="45" customFormat="1" ht="22.5" customHeight="1">
      <c r="A60" s="55"/>
      <c r="B60" s="68" t="s">
        <v>169</v>
      </c>
      <c r="C60" s="44"/>
      <c r="D60" s="44">
        <f>11*1490000*17%*12</f>
        <v>33435600</v>
      </c>
      <c r="E60" s="58"/>
      <c r="F60" s="44">
        <f t="shared" ref="F60:F110" si="1">D60-E60</f>
        <v>33435600</v>
      </c>
      <c r="G60" s="116"/>
    </row>
    <row r="61" spans="1:8" s="45" customFormat="1" ht="18" customHeight="1">
      <c r="A61" s="55"/>
      <c r="B61" s="68" t="s">
        <v>61</v>
      </c>
      <c r="C61" s="44"/>
      <c r="D61" s="44">
        <f>2*1490000*12</f>
        <v>35760000</v>
      </c>
      <c r="E61" s="58"/>
      <c r="F61" s="44">
        <f t="shared" si="1"/>
        <v>35760000</v>
      </c>
      <c r="G61" s="116"/>
    </row>
    <row r="62" spans="1:8" s="38" customFormat="1" ht="18" customHeight="1">
      <c r="A62" s="56"/>
      <c r="B62" s="73" t="s">
        <v>264</v>
      </c>
      <c r="C62" s="58"/>
      <c r="D62" s="58">
        <v>4688870</v>
      </c>
      <c r="E62" s="58"/>
      <c r="F62" s="58">
        <f>D62</f>
        <v>4688870</v>
      </c>
      <c r="G62" s="113"/>
    </row>
    <row r="63" spans="1:8" s="66" customFormat="1" ht="18" customHeight="1">
      <c r="A63" s="64" t="s">
        <v>300</v>
      </c>
      <c r="B63" s="69" t="s">
        <v>83</v>
      </c>
      <c r="C63" s="183">
        <v>444000000</v>
      </c>
      <c r="D63" s="183">
        <f>SUM(D64:D78)</f>
        <v>425540000</v>
      </c>
      <c r="E63" s="183">
        <f>SUM(E64:E78)</f>
        <v>30700000</v>
      </c>
      <c r="F63" s="183">
        <f>SUM(F64:F78)</f>
        <v>394840000</v>
      </c>
      <c r="G63" s="113"/>
      <c r="H63" s="185">
        <f>C63-D63</f>
        <v>18460000</v>
      </c>
    </row>
    <row r="64" spans="1:8" s="45" customFormat="1" ht="21" customHeight="1">
      <c r="A64" s="55"/>
      <c r="B64" s="70" t="s">
        <v>337</v>
      </c>
      <c r="C64" s="182"/>
      <c r="D64" s="182">
        <v>67000000</v>
      </c>
      <c r="E64" s="182">
        <f>D64*10%</f>
        <v>6700000</v>
      </c>
      <c r="F64" s="182">
        <f>D64-E64</f>
        <v>60300000</v>
      </c>
      <c r="G64" s="116"/>
      <c r="H64" s="204"/>
    </row>
    <row r="65" spans="1:8" s="45" customFormat="1" ht="21" customHeight="1">
      <c r="A65" s="55"/>
      <c r="B65" s="70" t="s">
        <v>84</v>
      </c>
      <c r="C65" s="44"/>
      <c r="D65" s="44">
        <v>45000000</v>
      </c>
      <c r="E65" s="44">
        <f t="shared" ref="E65:E95" si="2">D65*10%</f>
        <v>4500000</v>
      </c>
      <c r="F65" s="44">
        <f t="shared" si="1"/>
        <v>40500000</v>
      </c>
      <c r="G65" s="113"/>
    </row>
    <row r="66" spans="1:8" s="45" customFormat="1" ht="22.5" customHeight="1">
      <c r="A66" s="55"/>
      <c r="B66" s="70" t="s">
        <v>85</v>
      </c>
      <c r="C66" s="44"/>
      <c r="D66" s="44">
        <f>2200000+6540000</f>
        <v>8740000</v>
      </c>
      <c r="E66" s="44">
        <f>D66*10%-654000</f>
        <v>220000</v>
      </c>
      <c r="F66" s="44">
        <f t="shared" si="1"/>
        <v>8520000</v>
      </c>
      <c r="G66" s="113"/>
      <c r="H66" s="204"/>
    </row>
    <row r="67" spans="1:8" s="45" customFormat="1" ht="22.5" customHeight="1">
      <c r="A67" s="55"/>
      <c r="B67" s="70" t="s">
        <v>314</v>
      </c>
      <c r="C67" s="44"/>
      <c r="D67" s="44">
        <v>20000000</v>
      </c>
      <c r="E67" s="44">
        <f t="shared" si="2"/>
        <v>2000000</v>
      </c>
      <c r="F67" s="44">
        <f t="shared" si="1"/>
        <v>18000000</v>
      </c>
      <c r="G67" s="113"/>
      <c r="H67" s="204"/>
    </row>
    <row r="68" spans="1:8" s="45" customFormat="1" ht="22.5" customHeight="1">
      <c r="A68" s="55"/>
      <c r="B68" s="70" t="s">
        <v>315</v>
      </c>
      <c r="C68" s="44"/>
      <c r="D68" s="44">
        <v>7000000</v>
      </c>
      <c r="E68" s="44">
        <f t="shared" si="2"/>
        <v>700000</v>
      </c>
      <c r="F68" s="44">
        <f t="shared" si="1"/>
        <v>6300000</v>
      </c>
      <c r="G68" s="113"/>
      <c r="H68" s="204"/>
    </row>
    <row r="69" spans="1:8" s="45" customFormat="1" ht="22.5" customHeight="1">
      <c r="A69" s="55"/>
      <c r="B69" s="70" t="s">
        <v>313</v>
      </c>
      <c r="C69" s="44"/>
      <c r="D69" s="44">
        <v>24000000</v>
      </c>
      <c r="E69" s="44">
        <f t="shared" si="2"/>
        <v>2400000</v>
      </c>
      <c r="F69" s="44">
        <f t="shared" si="1"/>
        <v>21600000</v>
      </c>
      <c r="G69" s="113"/>
      <c r="H69" s="204"/>
    </row>
    <row r="70" spans="1:8" s="45" customFormat="1" ht="22.5" customHeight="1">
      <c r="A70" s="55"/>
      <c r="B70" s="70" t="s">
        <v>317</v>
      </c>
      <c r="C70" s="44"/>
      <c r="D70" s="44">
        <v>35000000</v>
      </c>
      <c r="E70" s="44">
        <f t="shared" si="2"/>
        <v>3500000</v>
      </c>
      <c r="F70" s="44">
        <f t="shared" si="1"/>
        <v>31500000</v>
      </c>
      <c r="G70" s="113"/>
      <c r="H70" s="204"/>
    </row>
    <row r="71" spans="1:8" s="45" customFormat="1" ht="22.5" customHeight="1">
      <c r="A71" s="55"/>
      <c r="B71" s="70" t="s">
        <v>318</v>
      </c>
      <c r="C71" s="44"/>
      <c r="D71" s="44">
        <v>15000000</v>
      </c>
      <c r="E71" s="44">
        <f t="shared" si="2"/>
        <v>1500000</v>
      </c>
      <c r="F71" s="44">
        <f t="shared" si="1"/>
        <v>13500000</v>
      </c>
      <c r="G71" s="113"/>
      <c r="H71" s="204"/>
    </row>
    <row r="72" spans="1:8" s="45" customFormat="1" ht="22.5" customHeight="1">
      <c r="A72" s="55"/>
      <c r="B72" s="70" t="s">
        <v>319</v>
      </c>
      <c r="C72" s="44"/>
      <c r="D72" s="44">
        <f>(21+11)*(1000000+100000+200000+100000+100000)</f>
        <v>48000000</v>
      </c>
      <c r="E72" s="44"/>
      <c r="F72" s="44">
        <f t="shared" si="1"/>
        <v>48000000</v>
      </c>
      <c r="G72" s="113"/>
      <c r="H72" s="204"/>
    </row>
    <row r="73" spans="1:8" s="45" customFormat="1" ht="33.75" customHeight="1">
      <c r="A73" s="55"/>
      <c r="B73" s="70" t="s">
        <v>328</v>
      </c>
      <c r="C73" s="44"/>
      <c r="D73" s="44">
        <v>12000000</v>
      </c>
      <c r="E73" s="44">
        <f t="shared" si="2"/>
        <v>1200000</v>
      </c>
      <c r="F73" s="44">
        <f t="shared" si="1"/>
        <v>10800000</v>
      </c>
      <c r="G73" s="113" t="s">
        <v>322</v>
      </c>
      <c r="H73" s="204">
        <v>12000000</v>
      </c>
    </row>
    <row r="74" spans="1:8" s="45" customFormat="1" ht="22.5" customHeight="1">
      <c r="A74" s="55"/>
      <c r="B74" s="70" t="s">
        <v>341</v>
      </c>
      <c r="C74" s="44"/>
      <c r="D74" s="44">
        <v>25000000</v>
      </c>
      <c r="E74" s="44">
        <f t="shared" si="2"/>
        <v>2500000</v>
      </c>
      <c r="F74" s="44">
        <f t="shared" si="1"/>
        <v>22500000</v>
      </c>
      <c r="G74" s="113"/>
      <c r="H74" s="204">
        <v>25000000</v>
      </c>
    </row>
    <row r="75" spans="1:8" s="45" customFormat="1" ht="21" customHeight="1">
      <c r="A75" s="55"/>
      <c r="B75" s="70" t="s">
        <v>101</v>
      </c>
      <c r="C75" s="44"/>
      <c r="D75" s="44">
        <f>21*(150000*12)</f>
        <v>37800000</v>
      </c>
      <c r="E75" s="44"/>
      <c r="F75" s="44">
        <f t="shared" si="1"/>
        <v>37800000</v>
      </c>
      <c r="G75" s="113"/>
      <c r="H75" s="205"/>
    </row>
    <row r="76" spans="1:8" s="45" customFormat="1" ht="21" customHeight="1">
      <c r="A76" s="55"/>
      <c r="B76" s="70" t="s">
        <v>326</v>
      </c>
      <c r="C76" s="44"/>
      <c r="D76" s="44">
        <f>2000000*12+20000000</f>
        <v>44000000</v>
      </c>
      <c r="E76" s="44"/>
      <c r="F76" s="44">
        <f>D76</f>
        <v>44000000</v>
      </c>
      <c r="G76" s="113"/>
      <c r="H76" s="205">
        <f>1*1490000*(4.5%+22%)</f>
        <v>394850</v>
      </c>
    </row>
    <row r="77" spans="1:8" s="45" customFormat="1" ht="21" customHeight="1">
      <c r="A77" s="55"/>
      <c r="B77" s="70" t="s">
        <v>329</v>
      </c>
      <c r="C77" s="44"/>
      <c r="D77" s="44">
        <v>25000000</v>
      </c>
      <c r="E77" s="44">
        <f>D77*10%</f>
        <v>2500000</v>
      </c>
      <c r="F77" s="44">
        <f>D77-E77</f>
        <v>22500000</v>
      </c>
      <c r="G77" s="113"/>
      <c r="H77" s="205"/>
    </row>
    <row r="78" spans="1:8" s="45" customFormat="1" ht="21" customHeight="1">
      <c r="A78" s="55"/>
      <c r="B78" s="70" t="s">
        <v>342</v>
      </c>
      <c r="C78" s="44"/>
      <c r="D78" s="44">
        <v>12000000</v>
      </c>
      <c r="E78" s="44">
        <f>D78*10%+1780000</f>
        <v>2980000</v>
      </c>
      <c r="F78" s="44">
        <f>D78-E78</f>
        <v>9020000</v>
      </c>
      <c r="G78" s="113"/>
      <c r="H78" s="205">
        <f>35*80000</f>
        <v>2800000</v>
      </c>
    </row>
    <row r="79" spans="1:8" s="66" customFormat="1" ht="24" customHeight="1">
      <c r="A79" s="64" t="s">
        <v>301</v>
      </c>
      <c r="B79" s="69" t="s">
        <v>338</v>
      </c>
      <c r="C79" s="58">
        <v>80000000</v>
      </c>
      <c r="D79" s="6">
        <f>SUM(D80:D83)</f>
        <v>80000000</v>
      </c>
      <c r="E79" s="6">
        <f>SUM(E80:E83)</f>
        <v>8000000</v>
      </c>
      <c r="F79" s="6">
        <f>SUM(F80:F83)</f>
        <v>72000000</v>
      </c>
      <c r="G79" s="113"/>
      <c r="H79" s="185">
        <f>C79-D79</f>
        <v>0</v>
      </c>
    </row>
    <row r="80" spans="1:8" s="45" customFormat="1" ht="22.5" customHeight="1">
      <c r="A80" s="55"/>
      <c r="B80" s="70" t="s">
        <v>311</v>
      </c>
      <c r="C80" s="44"/>
      <c r="D80" s="44">
        <v>26400000</v>
      </c>
      <c r="E80" s="44">
        <f>D80*10%</f>
        <v>2640000</v>
      </c>
      <c r="F80" s="44">
        <f>D80-E80</f>
        <v>23760000</v>
      </c>
      <c r="G80" s="116"/>
      <c r="H80" s="204"/>
    </row>
    <row r="81" spans="1:8" s="45" customFormat="1" ht="22.5" customHeight="1">
      <c r="A81" s="55"/>
      <c r="B81" s="70" t="s">
        <v>312</v>
      </c>
      <c r="C81" s="44"/>
      <c r="D81" s="44">
        <v>36400000</v>
      </c>
      <c r="E81" s="44">
        <f>D81*10%</f>
        <v>3640000</v>
      </c>
      <c r="F81" s="44">
        <f>D81-E81</f>
        <v>32760000</v>
      </c>
      <c r="G81" s="116"/>
      <c r="H81" s="204"/>
    </row>
    <row r="82" spans="1:8" s="45" customFormat="1" ht="22.5" customHeight="1">
      <c r="A82" s="55"/>
      <c r="B82" s="70" t="s">
        <v>316</v>
      </c>
      <c r="C82" s="44"/>
      <c r="D82" s="44">
        <v>10000000</v>
      </c>
      <c r="E82" s="44">
        <f>D82*10%</f>
        <v>1000000</v>
      </c>
      <c r="F82" s="44">
        <f>D82-E82</f>
        <v>9000000</v>
      </c>
      <c r="G82" s="116"/>
      <c r="H82" s="204"/>
    </row>
    <row r="83" spans="1:8" s="45" customFormat="1" ht="22.5" customHeight="1">
      <c r="A83" s="55"/>
      <c r="B83" s="70" t="s">
        <v>323</v>
      </c>
      <c r="C83" s="44"/>
      <c r="D83" s="44">
        <v>7200000</v>
      </c>
      <c r="E83" s="44">
        <f>D83*10%</f>
        <v>720000</v>
      </c>
      <c r="F83" s="44">
        <f>D83-E83</f>
        <v>6480000</v>
      </c>
      <c r="G83" s="116"/>
      <c r="H83" s="204"/>
    </row>
    <row r="84" spans="1:8" s="66" customFormat="1" ht="24" customHeight="1">
      <c r="A84" s="64" t="s">
        <v>302</v>
      </c>
      <c r="B84" s="65" t="s">
        <v>103</v>
      </c>
      <c r="C84" s="58">
        <f>C85+C91</f>
        <v>145000000</v>
      </c>
      <c r="D84" s="58">
        <f>D85+D91</f>
        <v>145000000</v>
      </c>
      <c r="E84" s="58">
        <f>E85+E91</f>
        <v>14500000</v>
      </c>
      <c r="F84" s="58">
        <f>F85+F91</f>
        <v>130500000</v>
      </c>
      <c r="G84" s="113"/>
    </row>
    <row r="85" spans="1:8" s="38" customFormat="1" ht="25.5" customHeight="1">
      <c r="A85" s="56" t="s">
        <v>303</v>
      </c>
      <c r="B85" s="57" t="s">
        <v>283</v>
      </c>
      <c r="C85" s="58">
        <f>SUM(C86:C90)</f>
        <v>75000000</v>
      </c>
      <c r="D85" s="58">
        <f>SUM(D86:D90)</f>
        <v>75000000</v>
      </c>
      <c r="E85" s="58">
        <f>SUM(E86:E90)</f>
        <v>7500000</v>
      </c>
      <c r="F85" s="58">
        <f>SUM(F86:F90)</f>
        <v>67500000</v>
      </c>
      <c r="G85" s="113"/>
    </row>
    <row r="86" spans="1:8" s="72" customFormat="1" ht="25.5" customHeight="1">
      <c r="A86" s="71"/>
      <c r="B86" s="5" t="s">
        <v>104</v>
      </c>
      <c r="C86" s="44">
        <v>15000000</v>
      </c>
      <c r="D86" s="46">
        <f t="shared" ref="D86:D91" si="3">C86</f>
        <v>15000000</v>
      </c>
      <c r="E86" s="44">
        <f t="shared" si="2"/>
        <v>1500000</v>
      </c>
      <c r="F86" s="44">
        <f t="shared" si="1"/>
        <v>13500000</v>
      </c>
      <c r="G86" s="113"/>
      <c r="H86" s="186"/>
    </row>
    <row r="87" spans="1:8" s="72" customFormat="1" ht="24" customHeight="1">
      <c r="A87" s="71"/>
      <c r="B87" s="5" t="s">
        <v>105</v>
      </c>
      <c r="C87" s="44">
        <v>15000000</v>
      </c>
      <c r="D87" s="46">
        <f t="shared" si="3"/>
        <v>15000000</v>
      </c>
      <c r="E87" s="44">
        <f t="shared" si="2"/>
        <v>1500000</v>
      </c>
      <c r="F87" s="44">
        <f t="shared" si="1"/>
        <v>13500000</v>
      </c>
      <c r="G87" s="113"/>
      <c r="H87" s="186"/>
    </row>
    <row r="88" spans="1:8" s="72" customFormat="1" ht="24" customHeight="1">
      <c r="A88" s="71"/>
      <c r="B88" s="5" t="s">
        <v>106</v>
      </c>
      <c r="C88" s="44">
        <v>15000000</v>
      </c>
      <c r="D88" s="46">
        <f t="shared" si="3"/>
        <v>15000000</v>
      </c>
      <c r="E88" s="44">
        <f t="shared" si="2"/>
        <v>1500000</v>
      </c>
      <c r="F88" s="44">
        <f t="shared" si="1"/>
        <v>13500000</v>
      </c>
      <c r="G88" s="113"/>
    </row>
    <row r="89" spans="1:8" s="72" customFormat="1" ht="24" customHeight="1">
      <c r="A89" s="71"/>
      <c r="B89" s="5" t="s">
        <v>107</v>
      </c>
      <c r="C89" s="44">
        <v>15000000</v>
      </c>
      <c r="D89" s="46">
        <f t="shared" si="3"/>
        <v>15000000</v>
      </c>
      <c r="E89" s="44">
        <f t="shared" si="2"/>
        <v>1500000</v>
      </c>
      <c r="F89" s="44">
        <f t="shared" si="1"/>
        <v>13500000</v>
      </c>
      <c r="G89" s="113"/>
    </row>
    <row r="90" spans="1:8" s="72" customFormat="1" ht="24" customHeight="1">
      <c r="A90" s="71"/>
      <c r="B90" s="5" t="s">
        <v>108</v>
      </c>
      <c r="C90" s="44">
        <v>15000000</v>
      </c>
      <c r="D90" s="46">
        <f t="shared" si="3"/>
        <v>15000000</v>
      </c>
      <c r="E90" s="44">
        <f t="shared" si="2"/>
        <v>1500000</v>
      </c>
      <c r="F90" s="44">
        <f t="shared" si="1"/>
        <v>13500000</v>
      </c>
      <c r="G90" s="113"/>
    </row>
    <row r="91" spans="1:8" s="38" customFormat="1" ht="36" customHeight="1">
      <c r="A91" s="56" t="s">
        <v>304</v>
      </c>
      <c r="B91" s="57" t="s">
        <v>310</v>
      </c>
      <c r="C91" s="58">
        <f>35*2000000</f>
        <v>70000000</v>
      </c>
      <c r="D91" s="58">
        <f t="shared" si="3"/>
        <v>70000000</v>
      </c>
      <c r="E91" s="58">
        <f>D91*10%</f>
        <v>7000000</v>
      </c>
      <c r="F91" s="58">
        <f t="shared" si="1"/>
        <v>63000000</v>
      </c>
      <c r="G91" s="113"/>
    </row>
    <row r="92" spans="1:8" s="66" customFormat="1" ht="24.75" customHeight="1">
      <c r="A92" s="64" t="s">
        <v>305</v>
      </c>
      <c r="B92" s="65" t="s">
        <v>259</v>
      </c>
      <c r="C92" s="58">
        <v>18000000</v>
      </c>
      <c r="D92" s="6">
        <v>18000000</v>
      </c>
      <c r="E92" s="58">
        <f t="shared" si="2"/>
        <v>1800000</v>
      </c>
      <c r="F92" s="58">
        <f t="shared" si="1"/>
        <v>16200000</v>
      </c>
      <c r="G92" s="113"/>
    </row>
    <row r="93" spans="1:8" s="38" customFormat="1" ht="22.5" customHeight="1">
      <c r="A93" s="56" t="s">
        <v>306</v>
      </c>
      <c r="B93" s="57" t="s">
        <v>111</v>
      </c>
      <c r="C93" s="58">
        <v>3000000</v>
      </c>
      <c r="D93" s="58">
        <v>3000000</v>
      </c>
      <c r="E93" s="58">
        <f t="shared" si="2"/>
        <v>300000</v>
      </c>
      <c r="F93" s="58">
        <f t="shared" si="1"/>
        <v>2700000</v>
      </c>
      <c r="G93" s="113"/>
    </row>
    <row r="94" spans="1:8" s="38" customFormat="1" ht="22.5" customHeight="1">
      <c r="A94" s="56" t="s">
        <v>307</v>
      </c>
      <c r="B94" s="57" t="s">
        <v>260</v>
      </c>
      <c r="C94" s="58">
        <v>3000000</v>
      </c>
      <c r="D94" s="58">
        <v>3000000</v>
      </c>
      <c r="E94" s="58">
        <f t="shared" si="2"/>
        <v>300000</v>
      </c>
      <c r="F94" s="58">
        <f t="shared" si="1"/>
        <v>2700000</v>
      </c>
      <c r="G94" s="113"/>
    </row>
    <row r="95" spans="1:8" s="38" customFormat="1" ht="22.5" customHeight="1">
      <c r="A95" s="56" t="s">
        <v>308</v>
      </c>
      <c r="B95" s="57" t="s">
        <v>261</v>
      </c>
      <c r="C95" s="58">
        <v>5000000</v>
      </c>
      <c r="D95" s="58">
        <v>5000000</v>
      </c>
      <c r="E95" s="58">
        <f t="shared" si="2"/>
        <v>500000</v>
      </c>
      <c r="F95" s="58">
        <f t="shared" si="1"/>
        <v>4500000</v>
      </c>
      <c r="G95" s="113"/>
    </row>
    <row r="96" spans="1:8" s="38" customFormat="1" ht="22.5" customHeight="1">
      <c r="A96" s="56" t="s">
        <v>309</v>
      </c>
      <c r="B96" s="57" t="s">
        <v>32</v>
      </c>
      <c r="C96" s="58">
        <v>21000000</v>
      </c>
      <c r="D96" s="58">
        <f>SUM(D97:D99)</f>
        <v>21000000</v>
      </c>
      <c r="E96" s="58">
        <f>SUM(E97:E99)</f>
        <v>2100000</v>
      </c>
      <c r="F96" s="58">
        <f>SUM(F97:F99)</f>
        <v>18900000</v>
      </c>
      <c r="G96" s="113"/>
    </row>
    <row r="97" spans="1:7" s="219" customFormat="1" ht="22.5" customHeight="1">
      <c r="A97" s="216"/>
      <c r="B97" s="220" t="s">
        <v>320</v>
      </c>
      <c r="C97" s="217"/>
      <c r="D97" s="217">
        <v>10000000</v>
      </c>
      <c r="E97" s="217">
        <f>D97*10%</f>
        <v>1000000</v>
      </c>
      <c r="F97" s="217">
        <f t="shared" si="1"/>
        <v>9000000</v>
      </c>
      <c r="G97" s="218"/>
    </row>
    <row r="98" spans="1:7" s="219" customFormat="1" ht="22.5" customHeight="1">
      <c r="A98" s="216"/>
      <c r="B98" s="220" t="s">
        <v>321</v>
      </c>
      <c r="C98" s="217"/>
      <c r="D98" s="217">
        <v>3000000</v>
      </c>
      <c r="E98" s="217">
        <f>D98*10%</f>
        <v>300000</v>
      </c>
      <c r="F98" s="217">
        <f t="shared" si="1"/>
        <v>2700000</v>
      </c>
      <c r="G98" s="221" t="s">
        <v>322</v>
      </c>
    </row>
    <row r="99" spans="1:7" s="219" customFormat="1" ht="22.5" customHeight="1">
      <c r="A99" s="216"/>
      <c r="B99" s="220" t="s">
        <v>323</v>
      </c>
      <c r="C99" s="217"/>
      <c r="D99" s="217">
        <f>21000000-D98-D97</f>
        <v>8000000</v>
      </c>
      <c r="E99" s="217">
        <f>D99*10%</f>
        <v>800000</v>
      </c>
      <c r="F99" s="217">
        <f t="shared" si="1"/>
        <v>7200000</v>
      </c>
      <c r="G99" s="218"/>
    </row>
    <row r="100" spans="1:7" s="219" customFormat="1" ht="34.5" customHeight="1">
      <c r="A100" s="56" t="s">
        <v>334</v>
      </c>
      <c r="B100" s="73" t="s">
        <v>343</v>
      </c>
      <c r="C100" s="58"/>
      <c r="D100" s="58">
        <v>2000000</v>
      </c>
      <c r="E100" s="58">
        <f>D100*10%</f>
        <v>200000</v>
      </c>
      <c r="F100" s="58">
        <f t="shared" ref="F100:F105" si="4">D100-E100</f>
        <v>1800000</v>
      </c>
      <c r="G100" s="218"/>
    </row>
    <row r="101" spans="1:7" s="219" customFormat="1" ht="34.5" customHeight="1">
      <c r="A101" s="227" t="s">
        <v>344</v>
      </c>
      <c r="B101" s="73" t="s">
        <v>345</v>
      </c>
      <c r="C101" s="228"/>
      <c r="D101" s="228">
        <v>11210000</v>
      </c>
      <c r="E101" s="228"/>
      <c r="F101" s="228">
        <f t="shared" si="4"/>
        <v>11210000</v>
      </c>
      <c r="G101" s="218"/>
    </row>
    <row r="102" spans="1:7" s="219" customFormat="1" ht="34.5" customHeight="1">
      <c r="A102" s="227"/>
      <c r="B102" s="73" t="s">
        <v>100</v>
      </c>
      <c r="C102" s="228"/>
      <c r="D102" s="228">
        <v>25000000</v>
      </c>
      <c r="E102" s="228">
        <f>D102*10%</f>
        <v>2500000</v>
      </c>
      <c r="F102" s="228">
        <f t="shared" si="4"/>
        <v>22500000</v>
      </c>
      <c r="G102" s="218"/>
    </row>
    <row r="103" spans="1:7" s="38" customFormat="1" ht="37.5" customHeight="1">
      <c r="A103" s="56" t="s">
        <v>346</v>
      </c>
      <c r="B103" s="53" t="s">
        <v>332</v>
      </c>
      <c r="C103" s="228"/>
      <c r="D103" s="228">
        <v>50000000</v>
      </c>
      <c r="E103" s="228"/>
      <c r="F103" s="228">
        <f t="shared" si="4"/>
        <v>50000000</v>
      </c>
      <c r="G103" s="236" t="s">
        <v>322</v>
      </c>
    </row>
    <row r="104" spans="1:7" s="38" customFormat="1" ht="37.5" customHeight="1">
      <c r="A104" s="227" t="s">
        <v>347</v>
      </c>
      <c r="B104" s="57" t="s">
        <v>331</v>
      </c>
      <c r="C104" s="228"/>
      <c r="D104" s="228">
        <v>12000000</v>
      </c>
      <c r="E104" s="228"/>
      <c r="F104" s="228">
        <f t="shared" si="4"/>
        <v>12000000</v>
      </c>
      <c r="G104" s="238"/>
    </row>
    <row r="105" spans="1:7" s="38" customFormat="1" ht="37.5" customHeight="1">
      <c r="A105" s="56" t="s">
        <v>348</v>
      </c>
      <c r="B105" s="207" t="s">
        <v>333</v>
      </c>
      <c r="C105" s="228"/>
      <c r="D105" s="228">
        <v>8000000</v>
      </c>
      <c r="E105" s="228"/>
      <c r="F105" s="228">
        <f t="shared" si="4"/>
        <v>8000000</v>
      </c>
      <c r="G105" s="238"/>
    </row>
    <row r="106" spans="1:7" s="66" customFormat="1" ht="19.5" customHeight="1">
      <c r="A106" s="41" t="s">
        <v>4</v>
      </c>
      <c r="B106" s="74" t="s">
        <v>52</v>
      </c>
      <c r="C106" s="75">
        <v>129000000</v>
      </c>
      <c r="D106" s="75">
        <v>129000000</v>
      </c>
      <c r="E106" s="75"/>
      <c r="F106" s="39">
        <f t="shared" si="1"/>
        <v>129000000</v>
      </c>
      <c r="G106" s="117"/>
    </row>
    <row r="107" spans="1:7" s="38" customFormat="1" ht="22.5" customHeight="1">
      <c r="A107" s="52">
        <v>1</v>
      </c>
      <c r="B107" s="53" t="s">
        <v>332</v>
      </c>
      <c r="C107" s="54"/>
      <c r="D107" s="54">
        <v>40000000</v>
      </c>
      <c r="E107" s="54"/>
      <c r="F107" s="54">
        <f>D107</f>
        <v>40000000</v>
      </c>
      <c r="G107" s="240"/>
    </row>
    <row r="108" spans="1:7" s="66" customFormat="1" ht="19.5" customHeight="1">
      <c r="A108" s="41" t="s">
        <v>5</v>
      </c>
      <c r="B108" s="74" t="s">
        <v>53</v>
      </c>
      <c r="C108" s="75"/>
      <c r="D108" s="75">
        <f>D109+D110</f>
        <v>0</v>
      </c>
      <c r="E108" s="75">
        <f>E109+E110</f>
        <v>0</v>
      </c>
      <c r="F108" s="75">
        <f>F109+F110</f>
        <v>0</v>
      </c>
      <c r="G108" s="120"/>
    </row>
    <row r="109" spans="1:7" s="45" customFormat="1" ht="19.5" customHeight="1">
      <c r="A109" s="148">
        <v>1</v>
      </c>
      <c r="B109" s="149" t="s">
        <v>113</v>
      </c>
      <c r="C109" s="150"/>
      <c r="D109" s="79"/>
      <c r="E109" s="79"/>
      <c r="F109" s="79">
        <f t="shared" si="1"/>
        <v>0</v>
      </c>
      <c r="G109" s="151"/>
    </row>
    <row r="110" spans="1:7" s="45" customFormat="1" ht="19.5" customHeight="1">
      <c r="A110" s="152">
        <v>2</v>
      </c>
      <c r="B110" s="153" t="s">
        <v>114</v>
      </c>
      <c r="C110" s="102"/>
      <c r="D110" s="93"/>
      <c r="E110" s="93"/>
      <c r="F110" s="93">
        <f t="shared" si="1"/>
        <v>0</v>
      </c>
      <c r="G110" s="144"/>
    </row>
    <row r="111" spans="1:7" s="97" customFormat="1" ht="19.5" customHeight="1">
      <c r="A111" s="41" t="s">
        <v>117</v>
      </c>
      <c r="B111" s="51" t="s">
        <v>194</v>
      </c>
      <c r="C111" s="76"/>
      <c r="D111" s="76"/>
      <c r="E111" s="76"/>
      <c r="F111" s="39">
        <v>85000000</v>
      </c>
      <c r="G111" s="119"/>
    </row>
    <row r="112" spans="1:7" s="97" customFormat="1" ht="19.5" customHeight="1">
      <c r="A112" s="41" t="s">
        <v>180</v>
      </c>
      <c r="B112" s="51" t="s">
        <v>281</v>
      </c>
      <c r="C112" s="76"/>
      <c r="D112" s="76">
        <f>D113+D114</f>
        <v>82750000</v>
      </c>
      <c r="E112" s="76">
        <f>E113+E114</f>
        <v>0</v>
      </c>
      <c r="F112" s="76">
        <f>F113+F114</f>
        <v>82750000</v>
      </c>
      <c r="G112" s="119"/>
    </row>
    <row r="113" spans="1:7" s="96" customFormat="1" ht="23.25" customHeight="1">
      <c r="A113" s="52">
        <v>1</v>
      </c>
      <c r="B113" s="53" t="s">
        <v>324</v>
      </c>
      <c r="C113" s="222"/>
      <c r="D113" s="222">
        <f>82750000*70%</f>
        <v>57925000</v>
      </c>
      <c r="E113" s="222"/>
      <c r="F113" s="54">
        <f>D113</f>
        <v>57925000</v>
      </c>
      <c r="G113" s="157"/>
    </row>
    <row r="114" spans="1:7" s="96" customFormat="1" ht="23.25" customHeight="1">
      <c r="A114" s="206">
        <v>2</v>
      </c>
      <c r="B114" s="207" t="s">
        <v>325</v>
      </c>
      <c r="C114" s="223"/>
      <c r="D114" s="223">
        <f>82750000*30%</f>
        <v>24825000</v>
      </c>
      <c r="E114" s="223"/>
      <c r="F114" s="223">
        <f>D114</f>
        <v>24825000</v>
      </c>
      <c r="G114" s="206"/>
    </row>
    <row r="115" spans="1:7" s="49" customFormat="1" ht="18.75">
      <c r="A115" s="36"/>
      <c r="B115" s="36"/>
      <c r="C115" s="87"/>
      <c r="D115" s="87"/>
      <c r="E115" s="87"/>
      <c r="F115" s="87"/>
      <c r="G115" s="125"/>
    </row>
    <row r="116" spans="1:7" s="49" customFormat="1" ht="18.75">
      <c r="A116" s="36"/>
      <c r="B116" s="36"/>
      <c r="C116" s="87"/>
      <c r="D116" s="87"/>
      <c r="E116" s="87"/>
      <c r="F116" s="87"/>
      <c r="G116" s="125"/>
    </row>
    <row r="117" spans="1:7" s="49" customFormat="1" ht="18.75">
      <c r="A117" s="36"/>
      <c r="B117" s="36"/>
      <c r="C117" s="87"/>
      <c r="D117" s="87"/>
      <c r="E117" s="87"/>
      <c r="F117" s="87"/>
      <c r="G117" s="125"/>
    </row>
    <row r="118" spans="1:7" s="49" customFormat="1" ht="18.75">
      <c r="A118" s="36"/>
      <c r="B118" s="36"/>
      <c r="C118" s="87"/>
      <c r="D118" s="87"/>
      <c r="E118" s="87"/>
      <c r="F118" s="87"/>
      <c r="G118" s="125"/>
    </row>
    <row r="119" spans="1:7" s="49" customFormat="1" ht="18.75">
      <c r="A119" s="86"/>
      <c r="B119" s="86"/>
      <c r="C119" s="87"/>
      <c r="D119" s="87"/>
      <c r="E119" s="87"/>
      <c r="F119" s="87"/>
      <c r="G119" s="125"/>
    </row>
    <row r="120" spans="1:7" s="49" customFormat="1" ht="18.75">
      <c r="C120" s="50"/>
      <c r="D120" s="50"/>
      <c r="E120" s="50"/>
      <c r="F120" s="50"/>
      <c r="G120" s="125"/>
    </row>
  </sheetData>
  <mergeCells count="5">
    <mergeCell ref="C1:G1"/>
    <mergeCell ref="A2:G2"/>
    <mergeCell ref="A3:D3"/>
    <mergeCell ref="C4:G4"/>
    <mergeCell ref="A6:B6"/>
  </mergeCells>
  <pageMargins left="0.48" right="0.16" top="0.41" bottom="0.34" header="0.2" footer="0.2"/>
  <pageSetup paperSize="9" orientation="landscape" verticalDpi="0"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5</vt:i4>
      </vt:variant>
    </vt:vector>
  </HeadingPairs>
  <TitlesOfParts>
    <vt:vector size="14" baseType="lpstr">
      <vt:lpstr>THU</vt:lpstr>
      <vt:lpstr>CHI có TKiem 10%</vt:lpstr>
      <vt:lpstr>foxz</vt:lpstr>
      <vt:lpstr>thu 2022</vt:lpstr>
      <vt:lpstr>Chi 2022</vt:lpstr>
      <vt:lpstr>Sheet1</vt:lpstr>
      <vt:lpstr>chi tiết chi 2021</vt:lpstr>
      <vt:lpstr>DKien tăng thu</vt:lpstr>
      <vt:lpstr>tăng thu</vt:lpstr>
      <vt:lpstr>'Chi 2022'!Print_Titles</vt:lpstr>
      <vt:lpstr>'CHI có TKiem 10%'!Print_Titles</vt:lpstr>
      <vt:lpstr>'chi tiết chi 2021'!Print_Titles</vt:lpstr>
      <vt:lpstr>THU!Print_Titles</vt:lpstr>
      <vt:lpstr>'thu 2022'!Print_Titles</vt:lpstr>
    </vt:vector>
  </TitlesOfParts>
  <Company>HOME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cp:lastModifiedBy>
  <cp:lastPrinted>2023-06-19T03:58:52Z</cp:lastPrinted>
  <dcterms:created xsi:type="dcterms:W3CDTF">2017-12-03T12:23:49Z</dcterms:created>
  <dcterms:modified xsi:type="dcterms:W3CDTF">2023-12-12T08:47:51Z</dcterms:modified>
</cp:coreProperties>
</file>